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50" windowWidth="7590" windowHeight="8445" tabRatio="901" activeTab="0"/>
  </bookViews>
  <sheets>
    <sheet name="naklady" sheetId="1" r:id="rId1"/>
    <sheet name="kalk_prosta" sheetId="2" r:id="rId2"/>
    <sheet name="kalk_pomer_cisla" sheetId="3" r:id="rId3"/>
    <sheet name="kalk_prirazkova" sheetId="4" r:id="rId4"/>
    <sheet name="kalk_prirustky" sheetId="5" r:id="rId5"/>
    <sheet name="kalkul_zadani" sheetId="6" r:id="rId6"/>
    <sheet name="kalkul_vypocet" sheetId="7" r:id="rId7"/>
    <sheet name="trzby, bod zvratu" sheetId="8" r:id="rId8"/>
    <sheet name="investice" sheetId="9" r:id="rId9"/>
  </sheets>
  <definedNames>
    <definedName name="_xlnm.Print_Area" localSheetId="5">'kalkul_zadani'!$A$6:$O$77</definedName>
  </definedNames>
  <calcPr fullCalcOnLoad="1"/>
</workbook>
</file>

<file path=xl/sharedStrings.xml><?xml version="1.0" encoding="utf-8"?>
<sst xmlns="http://schemas.openxmlformats.org/spreadsheetml/2006/main" count="477" uniqueCount="296">
  <si>
    <t>km</t>
  </si>
  <si>
    <t>hod. provozu</t>
  </si>
  <si>
    <t>Náklady nezávislé</t>
  </si>
  <si>
    <t>hod. stání</t>
  </si>
  <si>
    <t>Tarifní sazby na:</t>
  </si>
  <si>
    <t>Náklady závislé na:</t>
  </si>
  <si>
    <t>Spotřeba pohonných hmot</t>
  </si>
  <si>
    <t>Pryžové obruče</t>
  </si>
  <si>
    <t>Mzda</t>
  </si>
  <si>
    <t>Odpisy</t>
  </si>
  <si>
    <t>Oprava a údržba</t>
  </si>
  <si>
    <t>Zdravotní pojištění</t>
  </si>
  <si>
    <t>Diety - paušál</t>
  </si>
  <si>
    <t>Ostatní</t>
  </si>
  <si>
    <t>Provozní režie</t>
  </si>
  <si>
    <t>Správní režie</t>
  </si>
  <si>
    <t>1.</t>
  </si>
  <si>
    <t>2.</t>
  </si>
  <si>
    <t>3.</t>
  </si>
  <si>
    <t>4.</t>
  </si>
  <si>
    <t>5.</t>
  </si>
  <si>
    <t>6.1.</t>
  </si>
  <si>
    <t>6.2.</t>
  </si>
  <si>
    <t>6.3.</t>
  </si>
  <si>
    <t>x</t>
  </si>
  <si>
    <t>%</t>
  </si>
  <si>
    <t>z ceny pohonných hmot</t>
  </si>
  <si>
    <t>cena 1 pneu</t>
  </si>
  <si>
    <t>počet pneu</t>
  </si>
  <si>
    <t>normovaný proběh v době životnosti</t>
  </si>
  <si>
    <t>plnění proběhu</t>
  </si>
  <si>
    <t>pořizovací cena</t>
  </si>
  <si>
    <t>životnost</t>
  </si>
  <si>
    <t>provozní režie na vozidlo</t>
  </si>
  <si>
    <t>správní režie na vozidlo</t>
  </si>
  <si>
    <t>-</t>
  </si>
  <si>
    <t>roční doba provozu</t>
  </si>
  <si>
    <t>doba jednoho obratu</t>
  </si>
  <si>
    <t>z toho:</t>
  </si>
  <si>
    <t>doba jízdy</t>
  </si>
  <si>
    <t>doba stání</t>
  </si>
  <si>
    <t>roční počet obratů</t>
  </si>
  <si>
    <t>ujeté km celkem</t>
  </si>
  <si>
    <t>technická rychlost</t>
  </si>
  <si>
    <t>doba stání v roční době provozu</t>
  </si>
  <si>
    <t>součinitel využití jízd β</t>
  </si>
  <si>
    <t>Kč/l</t>
  </si>
  <si>
    <t>Kč</t>
  </si>
  <si>
    <t>ks</t>
  </si>
  <si>
    <t>Kč/hod</t>
  </si>
  <si>
    <t>Kč/km</t>
  </si>
  <si>
    <t>hod</t>
  </si>
  <si>
    <t>km/hod</t>
  </si>
  <si>
    <r>
      <t xml:space="preserve">KALKULACE </t>
    </r>
    <r>
      <rPr>
        <sz val="12"/>
        <rFont val="Arial CE"/>
        <family val="2"/>
      </rPr>
      <t>( v Kč )</t>
    </r>
  </si>
  <si>
    <r>
      <t xml:space="preserve">KALKULACE NÁKLADŮ </t>
    </r>
    <r>
      <rPr>
        <sz val="12"/>
        <rFont val="Arial CE"/>
        <family val="2"/>
      </rPr>
      <t>( v Kč )</t>
    </r>
  </si>
  <si>
    <r>
      <t xml:space="preserve">KALKULACE TARIFŮ </t>
    </r>
    <r>
      <rPr>
        <sz val="12"/>
        <rFont val="Arial CE"/>
        <family val="2"/>
      </rPr>
      <t>( v Kč )</t>
    </r>
  </si>
  <si>
    <t>Vypočtený tarif na ujetý km =</t>
  </si>
  <si>
    <t xml:space="preserve">Roční počet obratů = </t>
  </si>
  <si>
    <t>Vypočtený tarif na ložený km =</t>
  </si>
  <si>
    <t xml:space="preserve">Počet ujetých kilometrů za rok = </t>
  </si>
  <si>
    <t xml:space="preserve">Doba stání za rok = </t>
  </si>
  <si>
    <t>(vypočtěte)</t>
  </si>
  <si>
    <t>( Y ... celkové náklady )</t>
  </si>
  <si>
    <t>Režijní náklady útvaru =</t>
  </si>
  <si>
    <t>Výkon</t>
  </si>
  <si>
    <t>A</t>
  </si>
  <si>
    <t>B</t>
  </si>
  <si>
    <t>C</t>
  </si>
  <si>
    <t>spotřeba přímého materiálu</t>
  </si>
  <si>
    <t>přímé mzdy</t>
  </si>
  <si>
    <t>plánovaný objem výkonů</t>
  </si>
  <si>
    <t>Řešení:</t>
  </si>
  <si>
    <t xml:space="preserve">spotřeba času na kalkulační jednici = </t>
  </si>
  <si>
    <t>minut</t>
  </si>
  <si>
    <t>objem výkonů =</t>
  </si>
  <si>
    <t>oskm</t>
  </si>
  <si>
    <t>Výrobek</t>
  </si>
  <si>
    <t>Režijní náklady na jeden výrobek</t>
  </si>
  <si>
    <t>Přímé náklady na jeden výrobek</t>
  </si>
  <si>
    <t>Celkové náklady na jeden výrobek</t>
  </si>
  <si>
    <t>Kontrola:</t>
  </si>
  <si>
    <t>Celkové režijní náklady =</t>
  </si>
  <si>
    <r>
      <t xml:space="preserve">spotřeba času na jednici výkonu </t>
    </r>
    <r>
      <rPr>
        <i/>
        <sz val="11"/>
        <color indexed="8"/>
        <rFont val="Arial"/>
        <family val="2"/>
      </rPr>
      <t>(minuty)</t>
    </r>
  </si>
  <si>
    <r>
      <t xml:space="preserve">opotřebení dopravních prostředků </t>
    </r>
    <r>
      <rPr>
        <i/>
        <sz val="11"/>
        <color indexed="8"/>
        <rFont val="Arial"/>
        <family val="2"/>
      </rPr>
      <t>(odpisy, opravy...)</t>
    </r>
  </si>
  <si>
    <t>přepočtený počet výkonů =</t>
  </si>
  <si>
    <t>Poměrové číslo</t>
  </si>
  <si>
    <t>Jednicové výrobky</t>
  </si>
  <si>
    <t>x 1000 =</t>
  </si>
  <si>
    <t>Nákladová položka</t>
  </si>
  <si>
    <t>Náklady na 1 tkm v Kč</t>
  </si>
  <si>
    <t>D</t>
  </si>
  <si>
    <t>Spotřeba PHM</t>
  </si>
  <si>
    <t>Opotřebení PNEU</t>
  </si>
  <si>
    <t>Přímé mzdy</t>
  </si>
  <si>
    <t>plánovaný výkon v tkm</t>
  </si>
  <si>
    <t>Přímé náklady na 1 tkm</t>
  </si>
  <si>
    <t>Režijní náklady na 1 tkm</t>
  </si>
  <si>
    <t>Celkové náklady</t>
  </si>
  <si>
    <r>
      <t>koeficient přirážky (k</t>
    </r>
    <r>
      <rPr>
        <vertAlign val="subscript"/>
        <sz val="12"/>
        <color indexed="8"/>
        <rFont val="Arial"/>
        <family val="2"/>
      </rPr>
      <t>př</t>
    </r>
    <r>
      <rPr>
        <sz val="12"/>
        <color indexed="8"/>
        <rFont val="Arial"/>
        <family val="2"/>
      </rPr>
      <t>) =</t>
    </r>
  </si>
  <si>
    <t>Posuďte, zda je výhodnější provozovat dopravu, kterou si podnik dosud pouze platil za 50 Kč u externího dopravce, jestliže přímé náklady na ujetí jednoho kilometru jsou uvedeny v tabulce. Přímé mzdy jsou taktéž uvedeny v tabulce. Pokud by podnik dopravce dále najímal, platil by řidičům mzdy dle tabulky. Variabilní složka režie by byla X Kč dle tabulky na 1 ujetý kilometr a na provoz vlastní dopravy by musel nakoupit dodávku, jejíž měsíční odpisy budou Y Kč (dle tabulky). Fixní náklady podniku jsou na úrovni 250 000 Kč ročně. Rozhodněte, zda je pro podnik výhodnější tuto součást kupovat nebo vyrábět, jestliže její měsíční spotřeba je uvedena v tabulce.</t>
  </si>
  <si>
    <t>Nákladové položky</t>
  </si>
  <si>
    <t>při pronájmu</t>
  </si>
  <si>
    <t>při provozu</t>
  </si>
  <si>
    <t>počet ujetých kilometrů za rok</t>
  </si>
  <si>
    <t>celková spotřeba pohonných hmot (Kč)</t>
  </si>
  <si>
    <t>přímé mzdy řidičů</t>
  </si>
  <si>
    <t>variabilní režijní náklady</t>
  </si>
  <si>
    <t>celkové odpisy (Kč)</t>
  </si>
  <si>
    <t>fixní náklady</t>
  </si>
  <si>
    <t>Rozdíl</t>
  </si>
  <si>
    <t>spotřeba pohonných hmot na 1 km (Kč)</t>
  </si>
  <si>
    <t>přímé mzdy řidičů na 1 km</t>
  </si>
  <si>
    <t>odpisy celkem</t>
  </si>
  <si>
    <t>Výsledek:</t>
  </si>
  <si>
    <t>Přírůstkové náklady</t>
  </si>
  <si>
    <t>Placeno dopravci</t>
  </si>
  <si>
    <t>Provozovat vlastní dopravu je vzhledem k velikosti přírůstkových nákladů</t>
  </si>
  <si>
    <t>=</t>
  </si>
  <si>
    <t>n</t>
  </si>
  <si>
    <t>spotřeba olejů</t>
  </si>
  <si>
    <t>l / 100 km</t>
  </si>
  <si>
    <t>hodin</t>
  </si>
  <si>
    <t>E. ÚDRŽBA A OPRAVY</t>
  </si>
  <si>
    <t>D. ODPISY AUTOMOBILU</t>
  </si>
  <si>
    <t>C. MZDA ŘIDIČE VČ. PREMIÍ A PŘESČASŮm</t>
  </si>
  <si>
    <t>B. PRYŽOVÉ OBRUČE</t>
  </si>
  <si>
    <t>A. SPOTŘEBA POHONNÝCH HMOT A OLEJŮ</t>
  </si>
  <si>
    <t>F. SOCIÁLNÍ POJIŠTĚNÍ</t>
  </si>
  <si>
    <t>G. ZDRAVOTNÍ POJIŠTĚNÍ</t>
  </si>
  <si>
    <t>H. DIETY - PAUŠÁL</t>
  </si>
  <si>
    <t>I. POJISTNÉ, DAŇ, DÁLNICE</t>
  </si>
  <si>
    <t>J. PROVOZNÍ REŽIE NA VOZIDLO</t>
  </si>
  <si>
    <t>K. SPRÁVNÍ REŽIE NA VOZIDLO</t>
  </si>
  <si>
    <t>spotřeba pohonných hmot</t>
  </si>
  <si>
    <t>mzda řidiče</t>
  </si>
  <si>
    <t>opravy a údržba</t>
  </si>
  <si>
    <t>sociální pojištění řidičů</t>
  </si>
  <si>
    <t>zdravotní pojištění řidičů</t>
  </si>
  <si>
    <t>diety- paušál</t>
  </si>
  <si>
    <t>pojistné, daň, dálniční poplatky</t>
  </si>
  <si>
    <t>obratů</t>
  </si>
  <si>
    <t>let</t>
  </si>
  <si>
    <t>Z hodnot uvedených výše lze zpracovat tarifní kalkulaci na ujetý km a ujetý ložený km a hodinu stání vozidla po dobu plnění přepravní smlouvy. Vycházejte z následujících hodnot. Pro výpočet celkových nákladů na ujetý km a hodinu provozu jsou důležité i následující údaje:</t>
  </si>
  <si>
    <t>Celkové náklady =</t>
  </si>
  <si>
    <r>
      <t>a + n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+ n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x</t>
    </r>
    <r>
      <rPr>
        <vertAlign val="subscript"/>
        <sz val="14"/>
        <rFont val="Arial"/>
        <family val="2"/>
      </rPr>
      <t>2</t>
    </r>
  </si>
  <si>
    <r>
      <t>( a … nezávislé náklady, x</t>
    </r>
    <r>
      <rPr>
        <i/>
        <vertAlign val="subscript"/>
        <sz val="14"/>
        <rFont val="Arial"/>
        <family val="2"/>
      </rPr>
      <t>1</t>
    </r>
    <r>
      <rPr>
        <i/>
        <sz val="14"/>
        <rFont val="Arial"/>
        <family val="2"/>
      </rPr>
      <t xml:space="preserve"> ... ujeté km celkem , x</t>
    </r>
    <r>
      <rPr>
        <i/>
        <vertAlign val="subscript"/>
        <sz val="14"/>
        <rFont val="Arial"/>
        <family val="2"/>
      </rPr>
      <t>2</t>
    </r>
    <r>
      <rPr>
        <i/>
        <sz val="14"/>
        <rFont val="Arial"/>
        <family val="2"/>
      </rPr>
      <t xml:space="preserve"> ... hodiny provozu )</t>
    </r>
  </si>
  <si>
    <r>
      <t xml:space="preserve">Přímé náklady </t>
    </r>
    <r>
      <rPr>
        <sz val="14"/>
        <rFont val="Arial"/>
        <family val="2"/>
      </rPr>
      <t>(CELKEM)</t>
    </r>
  </si>
  <si>
    <r>
      <t xml:space="preserve">Režijní náklady </t>
    </r>
    <r>
      <rPr>
        <sz val="14"/>
        <rFont val="Arial"/>
        <family val="2"/>
      </rPr>
      <t>(CELKEM)</t>
    </r>
  </si>
  <si>
    <r>
      <t xml:space="preserve">ÚVN </t>
    </r>
    <r>
      <rPr>
        <sz val="14"/>
        <color indexed="9"/>
        <rFont val="Arial"/>
        <family val="2"/>
      </rPr>
      <t>(úplné vypočtené náklady)</t>
    </r>
  </si>
  <si>
    <t>POLOŽKY KALKULAČNÍHO VZORCE</t>
  </si>
  <si>
    <t>KALKULACE NÁKLADŮ A TARIFŮ SILNIČNÍ DOPRAVY - VSTUPY</t>
  </si>
  <si>
    <t>KALKULACE NÁKLADŮ A TARIFŮ SILNIČNÍ DOPRAVY - VÝSTUPY</t>
  </si>
  <si>
    <t>+</t>
  </si>
  <si>
    <t>CELKEM</t>
  </si>
  <si>
    <t>Cvičení č.6:</t>
  </si>
  <si>
    <t>NÁKLADY</t>
  </si>
  <si>
    <t>Příklad č.1:</t>
  </si>
  <si>
    <t>Určete optimální objem výroby, jestliže je nákladová funkce dána vztahem :</t>
  </si>
  <si>
    <t>N =</t>
  </si>
  <si>
    <t>V</t>
  </si>
  <si>
    <t>Vypočtěte celkové náklady při tomto objemu výroby (V).</t>
  </si>
  <si>
    <t>a)</t>
  </si>
  <si>
    <t>n (V) =</t>
  </si>
  <si>
    <t xml:space="preserve">N / V </t>
  </si>
  <si>
    <t xml:space="preserve">Z hlediska minimálních měrných nákladů bude optimální výroba buď </t>
  </si>
  <si>
    <t>ks nebo</t>
  </si>
  <si>
    <t>ks.</t>
  </si>
  <si>
    <t>Lze ještě ověřit, při jaké velikosti výroby budou měrné náklady nižší:</t>
  </si>
  <si>
    <t>n (</t>
  </si>
  <si>
    <t>) =</t>
  </si>
  <si>
    <t xml:space="preserve">Měrné náklady jsou nejnižší při objemu výroby </t>
  </si>
  <si>
    <t xml:space="preserve">ks, takže lze psát:  </t>
  </si>
  <si>
    <t>b)</t>
  </si>
  <si>
    <t>Ke stejnému výsledku dojdeme, když porovnáme mezní a měrné náklady:</t>
  </si>
  <si>
    <t>dN(V) / d(V) =</t>
  </si>
  <si>
    <t>Potom platí následující rovnost:</t>
  </si>
  <si>
    <t>/</t>
  </si>
  <si>
    <t>V opt =</t>
  </si>
  <si>
    <t xml:space="preserve">Celkové náklady při objemu výroby </t>
  </si>
  <si>
    <t>kusů potom budou :</t>
  </si>
  <si>
    <t>V +</t>
  </si>
  <si>
    <t>Příklad č.2:</t>
  </si>
  <si>
    <t xml:space="preserve">Vypočtěte, jak se budou měnit celkové a jednotkové náklady a jejich nákladová pružnost při těchto objemech výroby: </t>
  </si>
  <si>
    <t xml:space="preserve">, </t>
  </si>
  <si>
    <t>,</t>
  </si>
  <si>
    <t>, ..</t>
  </si>
  <si>
    <t>ks,</t>
  </si>
  <si>
    <t>jestliže je nákladová funkce dána rovnicí jako v předchozím příkladě.</t>
  </si>
  <si>
    <t>ΔV</t>
  </si>
  <si>
    <t>N</t>
  </si>
  <si>
    <t>ΔN</t>
  </si>
  <si>
    <t>Δn</t>
  </si>
  <si>
    <r>
      <t>V</t>
    </r>
    <r>
      <rPr>
        <vertAlign val="super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</si>
  <si>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nez</t>
    </r>
    <r>
      <rPr>
        <sz val="10"/>
        <rFont val="Arial"/>
        <family val="0"/>
      </rPr>
      <t xml:space="preserve"> =</t>
    </r>
  </si>
  <si>
    <r>
      <t>(N</t>
    </r>
    <r>
      <rPr>
        <vertAlign val="subscript"/>
        <sz val="10"/>
        <rFont val="Arial"/>
        <family val="2"/>
      </rPr>
      <t>nez</t>
    </r>
    <r>
      <rPr>
        <sz val="10"/>
        <rFont val="Arial"/>
        <family val="0"/>
      </rPr>
      <t xml:space="preserve"> .. náklady nezávislé)</t>
    </r>
  </si>
  <si>
    <r>
      <t>n</t>
    </r>
    <r>
      <rPr>
        <vertAlign val="subscript"/>
        <sz val="10"/>
        <rFont val="Arial"/>
        <family val="2"/>
      </rPr>
      <t>zl</t>
    </r>
    <r>
      <rPr>
        <sz val="10"/>
        <rFont val="Arial"/>
        <family val="0"/>
      </rPr>
      <t xml:space="preserve"> =</t>
    </r>
  </si>
  <si>
    <r>
      <t>(n</t>
    </r>
    <r>
      <rPr>
        <vertAlign val="subscript"/>
        <sz val="10"/>
        <rFont val="Arial"/>
        <family val="2"/>
      </rPr>
      <t>zl</t>
    </r>
    <r>
      <rPr>
        <sz val="10"/>
        <rFont val="Arial"/>
        <family val="0"/>
      </rPr>
      <t xml:space="preserve"> .. jednotkové náklady lineárně závislé)</t>
    </r>
  </si>
  <si>
    <r>
      <t>n</t>
    </r>
    <r>
      <rPr>
        <vertAlign val="subscript"/>
        <sz val="10"/>
        <rFont val="Arial"/>
        <family val="2"/>
      </rPr>
      <t xml:space="preserve">zn </t>
    </r>
    <r>
      <rPr>
        <sz val="10"/>
        <rFont val="Arial"/>
        <family val="0"/>
      </rPr>
      <t>=</t>
    </r>
  </si>
  <si>
    <r>
      <t>(n</t>
    </r>
    <r>
      <rPr>
        <vertAlign val="subscript"/>
        <sz val="10"/>
        <rFont val="Arial"/>
        <family val="2"/>
      </rPr>
      <t>zn</t>
    </r>
    <r>
      <rPr>
        <sz val="10"/>
        <rFont val="Arial"/>
        <family val="0"/>
      </rPr>
      <t xml:space="preserve"> .. jednotkové náklady nelineárně závislé)</t>
    </r>
  </si>
  <si>
    <r>
      <t xml:space="preserve">V </t>
    </r>
    <r>
      <rPr>
        <vertAlign val="subscript"/>
        <sz val="10"/>
        <rFont val="Arial"/>
        <family val="2"/>
      </rPr>
      <t xml:space="preserve">opt </t>
    </r>
    <r>
      <rPr>
        <sz val="10"/>
        <rFont val="Arial"/>
        <family val="0"/>
      </rPr>
      <t>=</t>
    </r>
  </si>
  <si>
    <r>
      <t>(N</t>
    </r>
    <r>
      <rPr>
        <vertAlign val="subscript"/>
        <sz val="10"/>
        <rFont val="Arial"/>
        <family val="2"/>
      </rPr>
      <t>nez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zn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</si>
  <si>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r>
      <t xml:space="preserve">V </t>
    </r>
    <r>
      <rPr>
        <b/>
        <vertAlign val="subscript"/>
        <sz val="10"/>
        <rFont val="Arial"/>
        <family val="2"/>
      </rPr>
      <t xml:space="preserve">opt </t>
    </r>
    <r>
      <rPr>
        <b/>
        <sz val="10"/>
        <rFont val="Arial"/>
        <family val="2"/>
      </rPr>
      <t>=</t>
    </r>
  </si>
  <si>
    <r>
      <t>N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(V) =</t>
    </r>
  </si>
  <si>
    <r>
      <t>E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(N)</t>
    </r>
  </si>
  <si>
    <r>
      <t>E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(n)</t>
    </r>
  </si>
  <si>
    <t>Cvičení č.7:</t>
  </si>
  <si>
    <t xml:space="preserve">KALKULACE </t>
  </si>
  <si>
    <t>KALKULACE</t>
  </si>
  <si>
    <t>Kč.</t>
  </si>
  <si>
    <t>Zadání: KALKULACE DĚLENÍM PROSTÁ</t>
  </si>
  <si>
    <t>Údaje o spotřebě času, přímých nákladech na 1 výkon A,B,C a plánovaném objemu prováděných výkonů uvádí následující tabulka. Stanovte předběžnou kalkulaci výkonů (kalkulujte prostým dělením) v položce vlastní náklady provozu.  Měsíční rozpočet režijních nákladů útvaru na sledované období činí:</t>
  </si>
  <si>
    <t xml:space="preserve">Údaje o spotřebě času, přímých nákladech na 1 výkon A,B,C a plánovaném objemu prováděných výkonů uvádí následující tabulka. Stanovte předběžnou kalkulaci výkonů (kalkulujte dělením                                            s poměrovými čísly) v položce vlastní náklady provozu.  Měsíční rozpočet režijních nákladů útvaru                na sledované období činí: </t>
  </si>
  <si>
    <t>Zadání: KALKULACE DĚLENÍM S POMĚROVÝMI ČÍSLY</t>
  </si>
  <si>
    <t>Zadání: KALKULACE PŘIRÁŽKOVÁ</t>
  </si>
  <si>
    <t>Dopravní podnik provádí ve sledovaném období 4 druhy přepravních výkonů. Jejich přímé náklady na 1 oskm                 a plánovaný objem ve stovkách oskm je v následující tabulce. Stanovte celkové náklady na 1 osobokilometr prostřednictvím přirážkové kalkulace:</t>
  </si>
  <si>
    <t>Příklad č.3:</t>
  </si>
  <si>
    <t>Zadání: KALKULACE PROSTŘEDNICTVÍM PŘÍRŮSTKOVÝCH NÁKLADŮ</t>
  </si>
  <si>
    <t>Příklad č.4:</t>
  </si>
  <si>
    <r>
      <t xml:space="preserve">Příklad č.5: </t>
    </r>
    <r>
      <rPr>
        <i/>
        <sz val="12"/>
        <rFont val="Arial"/>
        <family val="2"/>
      </rPr>
      <t>(zadání)</t>
    </r>
  </si>
  <si>
    <r>
      <t xml:space="preserve">Příklad č.5: </t>
    </r>
    <r>
      <rPr>
        <i/>
        <sz val="14"/>
        <rFont val="Arial"/>
        <family val="2"/>
      </rPr>
      <t>(výpočet)</t>
    </r>
  </si>
  <si>
    <t>Investiční náklady:</t>
  </si>
  <si>
    <t>VÝNOSY =</t>
  </si>
  <si>
    <t>Diskontní sazba (r):</t>
  </si>
  <si>
    <t>DISKONT. VÝNOSY =</t>
  </si>
  <si>
    <t>INVESTICE =</t>
  </si>
  <si>
    <t>ROZDÍL =</t>
  </si>
  <si>
    <t>Investice je vzhledem k výnosům</t>
  </si>
  <si>
    <t>ROK</t>
  </si>
  <si>
    <t>VÝNOSY</t>
  </si>
  <si>
    <t>KUMULOVANÉ VÝNOSY</t>
  </si>
  <si>
    <t>KUMULOVANÉ DISKONTOVANÉ VÝNOSY</t>
  </si>
  <si>
    <t>PB pro KV</t>
  </si>
  <si>
    <t>PB pro KDV</t>
  </si>
  <si>
    <t>Předpokládaná doba návratnosti investice:</t>
  </si>
  <si>
    <t>Vypočtená doba návratnosti investovaných prostředků:</t>
  </si>
  <si>
    <t>Předpokládaná diskontovaná doba návratnosti investice:</t>
  </si>
  <si>
    <t>Vypočtená diskontovaná doba návratnosti investovaných prostředků:</t>
  </si>
  <si>
    <r>
      <t>1 / (1+r)</t>
    </r>
    <r>
      <rPr>
        <b/>
        <vertAlign val="superscript"/>
        <sz val="10"/>
        <rFont val="Arial"/>
        <family val="2"/>
      </rPr>
      <t>n</t>
    </r>
  </si>
  <si>
    <r>
      <t xml:space="preserve">DISKONTOVANÉ VÝNOSY                 </t>
    </r>
    <r>
      <rPr>
        <sz val="9"/>
        <rFont val="Arial"/>
        <family val="2"/>
      </rPr>
      <t>(NPV)</t>
    </r>
  </si>
  <si>
    <t>Cvičení č.9:</t>
  </si>
  <si>
    <t>HODNOCENÍ INVESTIC</t>
  </si>
  <si>
    <r>
      <t xml:space="preserve">PROSTÁ A DISKONTOVANÁ DOBA NÁVRATNOSTI INVESTICE </t>
    </r>
    <r>
      <rPr>
        <sz val="10"/>
        <rFont val="Arial"/>
        <family val="2"/>
      </rPr>
      <t>(PB a DPB):</t>
    </r>
  </si>
  <si>
    <t xml:space="preserve">Navrhněte a propočítejte možnosti, které by vedly ke zvýšení zisku podniku o </t>
  </si>
  <si>
    <t>Kč,</t>
  </si>
  <si>
    <t xml:space="preserve">Nákladová funkce je N = </t>
  </si>
  <si>
    <t>S jakými riziky se jednotlivé varianty mohou setkat?</t>
  </si>
  <si>
    <t xml:space="preserve">Výrobky se na trhu prodávají za cenu  </t>
  </si>
  <si>
    <r>
      <t>N</t>
    </r>
    <r>
      <rPr>
        <vertAlign val="subscript"/>
        <sz val="10"/>
        <rFont val="Arial CE"/>
        <family val="0"/>
      </rPr>
      <t>fix</t>
    </r>
    <r>
      <rPr>
        <sz val="10"/>
        <rFont val="Arial CE"/>
        <family val="0"/>
      </rPr>
      <t xml:space="preserve"> =</t>
    </r>
  </si>
  <si>
    <r>
      <t>n</t>
    </r>
    <r>
      <rPr>
        <vertAlign val="subscript"/>
        <sz val="10"/>
        <rFont val="Arial CE"/>
        <family val="0"/>
      </rPr>
      <t>var</t>
    </r>
    <r>
      <rPr>
        <sz val="10"/>
        <rFont val="Arial CE"/>
        <family val="0"/>
      </rPr>
      <t xml:space="preserve"> =</t>
    </r>
  </si>
  <si>
    <r>
      <t>Zisk = cV – N</t>
    </r>
    <r>
      <rPr>
        <vertAlign val="subscript"/>
        <sz val="12"/>
        <rFont val="Arial"/>
        <family val="2"/>
      </rPr>
      <t>fix</t>
    </r>
    <r>
      <rPr>
        <sz val="12"/>
        <rFont val="Arial"/>
        <family val="2"/>
      </rPr>
      <t xml:space="preserve"> - n</t>
    </r>
    <r>
      <rPr>
        <vertAlign val="subscript"/>
        <sz val="12"/>
        <rFont val="Arial"/>
        <family val="2"/>
      </rPr>
      <t>var</t>
    </r>
    <r>
      <rPr>
        <sz val="12"/>
        <rFont val="Arial"/>
        <family val="2"/>
      </rPr>
      <t>V</t>
    </r>
  </si>
  <si>
    <t>Kč. (cena … c)</t>
  </si>
  <si>
    <t>(objem výroby … V)</t>
  </si>
  <si>
    <t>zisk =</t>
  </si>
  <si>
    <t>(pro V =</t>
  </si>
  <si>
    <t>ks)</t>
  </si>
  <si>
    <t>Podle zadání máme zisk zvýšit o</t>
  </si>
  <si>
    <t>Kč, tj. na</t>
  </si>
  <si>
    <t>TRŽBY, BOD ZVRATU</t>
  </si>
  <si>
    <t>Cvičení č.8:</t>
  </si>
  <si>
    <r>
      <t xml:space="preserve">Existují </t>
    </r>
    <r>
      <rPr>
        <b/>
        <sz val="10"/>
        <rFont val="Arial CE"/>
        <family val="0"/>
      </rPr>
      <t>3 možné cesty</t>
    </r>
    <r>
      <rPr>
        <sz val="10"/>
        <rFont val="Arial CE"/>
        <family val="0"/>
      </rPr>
      <t xml:space="preserve"> dosažení tohoto požadavku:</t>
    </r>
  </si>
  <si>
    <t xml:space="preserve">a) fixní </t>
  </si>
  <si>
    <t>b) variabilní</t>
  </si>
  <si>
    <t xml:space="preserve">SNÍŽIT NÁKLADY:    </t>
  </si>
  <si>
    <t>1)</t>
  </si>
  <si>
    <t xml:space="preserve">jestliže v současné době je objem výroby, který odpovídá požadavkům trhu, ve výši </t>
  </si>
  <si>
    <r>
      <t>n</t>
    </r>
    <r>
      <rPr>
        <vertAlign val="subscript"/>
        <sz val="10"/>
        <rFont val="Arial CE"/>
        <family val="0"/>
      </rPr>
      <t>var</t>
    </r>
  </si>
  <si>
    <r>
      <t>Δ</t>
    </r>
    <r>
      <rPr>
        <b/>
        <sz val="10"/>
        <rFont val="Arial CE"/>
        <family val="0"/>
      </rPr>
      <t xml:space="preserve"> n</t>
    </r>
    <r>
      <rPr>
        <b/>
        <vertAlign val="subscript"/>
        <sz val="10"/>
        <rFont val="Arial CE"/>
        <family val="0"/>
      </rPr>
      <t>var</t>
    </r>
    <r>
      <rPr>
        <b/>
        <sz val="10"/>
        <rFont val="Arial CE"/>
        <family val="0"/>
      </rPr>
      <t xml:space="preserve"> =</t>
    </r>
  </si>
  <si>
    <t>ad b)</t>
  </si>
  <si>
    <t>2)</t>
  </si>
  <si>
    <t>ZVÝŠIT CENU:</t>
  </si>
  <si>
    <r>
      <t>c</t>
    </r>
    <r>
      <rPr>
        <vertAlign val="subscript"/>
        <sz val="12"/>
        <rFont val="Times New Roman"/>
        <family val="1"/>
      </rPr>
      <t>nová</t>
    </r>
  </si>
  <si>
    <r>
      <t>c</t>
    </r>
    <r>
      <rPr>
        <b/>
        <vertAlign val="subscript"/>
        <sz val="10"/>
        <rFont val="Arial CE"/>
        <family val="0"/>
      </rPr>
      <t>nová</t>
    </r>
  </si>
  <si>
    <t>3)</t>
  </si>
  <si>
    <r>
      <t>ZVÝŠIT OBJEM VÝROBY: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(Pozor: Je poptávka dostatečná?)</t>
    </r>
  </si>
  <si>
    <r>
      <t>n</t>
    </r>
    <r>
      <rPr>
        <vertAlign val="subscript"/>
        <sz val="10"/>
        <rFont val="Arial CE"/>
        <family val="0"/>
      </rPr>
      <t>var</t>
    </r>
    <r>
      <rPr>
        <sz val="10"/>
        <rFont val="Arial CE"/>
        <family val="0"/>
      </rPr>
      <t xml:space="preserve"> =</t>
    </r>
  </si>
  <si>
    <r>
      <t>Pozor:</t>
    </r>
    <r>
      <rPr>
        <sz val="9"/>
        <rFont val="Arial"/>
        <family val="2"/>
      </rPr>
      <t xml:space="preserve"> Sníží se průměrné jednotkové náklady na marketing, zvýší se však vyplácené mzdy a budeme potřebovat více strojů.</t>
    </r>
  </si>
  <si>
    <r>
      <t>Pozor:</t>
    </r>
    <r>
      <rPr>
        <sz val="9"/>
        <rFont val="Arial"/>
        <family val="2"/>
      </rPr>
      <t xml:space="preserve"> Zvýšení ceny může vést ke snížení množství prodaného zboží, tudíž nemusí k požadovanému efektu vůbec dojít.</t>
    </r>
  </si>
  <si>
    <r>
      <t>Pozor:</t>
    </r>
    <r>
      <rPr>
        <sz val="9"/>
        <rFont val="Arial"/>
        <family val="2"/>
      </rPr>
      <t xml:space="preserve"> Složitá problematika hledání rezerv.</t>
    </r>
  </si>
  <si>
    <t xml:space="preserve">Vypočtěte mezní a průměrné náklady a výnosy podniku a jeho celkový, průměrný a mezní zisk. </t>
  </si>
  <si>
    <t>Určete objem výroby pro optimální hospodárnost podniku a maximální zisk.</t>
  </si>
  <si>
    <r>
      <t>N</t>
    </r>
    <r>
      <rPr>
        <vertAlign val="subscript"/>
        <sz val="10"/>
        <rFont val="Arial CE"/>
        <family val="0"/>
      </rPr>
      <t>celkem</t>
    </r>
  </si>
  <si>
    <r>
      <t>N</t>
    </r>
    <r>
      <rPr>
        <vertAlign val="subscript"/>
        <sz val="10"/>
        <rFont val="Arial CE"/>
        <family val="0"/>
      </rPr>
      <t>průměr</t>
    </r>
  </si>
  <si>
    <r>
      <t>N</t>
    </r>
    <r>
      <rPr>
        <vertAlign val="subscript"/>
        <sz val="10"/>
        <rFont val="Arial CE"/>
        <family val="0"/>
      </rPr>
      <t>mezní</t>
    </r>
  </si>
  <si>
    <r>
      <t>V</t>
    </r>
    <r>
      <rPr>
        <vertAlign val="subscript"/>
        <sz val="10"/>
        <rFont val="Arial CE"/>
        <family val="0"/>
      </rPr>
      <t>celkem</t>
    </r>
  </si>
  <si>
    <r>
      <t>V</t>
    </r>
    <r>
      <rPr>
        <vertAlign val="subscript"/>
        <sz val="10"/>
        <rFont val="Arial CE"/>
        <family val="0"/>
      </rPr>
      <t>průměr</t>
    </r>
  </si>
  <si>
    <r>
      <t>V</t>
    </r>
    <r>
      <rPr>
        <vertAlign val="subscript"/>
        <sz val="10"/>
        <rFont val="Arial CE"/>
        <family val="0"/>
      </rPr>
      <t>mezní</t>
    </r>
  </si>
  <si>
    <r>
      <t>Z</t>
    </r>
    <r>
      <rPr>
        <vertAlign val="subscript"/>
        <sz val="10"/>
        <rFont val="Arial CE"/>
        <family val="0"/>
      </rPr>
      <t>celkem</t>
    </r>
  </si>
  <si>
    <r>
      <t>Z</t>
    </r>
    <r>
      <rPr>
        <vertAlign val="subscript"/>
        <sz val="10"/>
        <rFont val="Arial CE"/>
        <family val="0"/>
      </rPr>
      <t>průměr</t>
    </r>
  </si>
  <si>
    <r>
      <t>Z</t>
    </r>
    <r>
      <rPr>
        <vertAlign val="subscript"/>
        <sz val="10"/>
        <rFont val="Arial CE"/>
        <family val="0"/>
      </rPr>
      <t>mezní</t>
    </r>
  </si>
  <si>
    <t xml:space="preserve">Náklady na výrobu výrobku stoupají rychleji při objemu výroby </t>
  </si>
  <si>
    <t>až</t>
  </si>
  <si>
    <t xml:space="preserve">kusů vzhledem k vzrůstajícím nákladům </t>
  </si>
  <si>
    <t>na mzdy. Cena jednoho výrobku je</t>
  </si>
  <si>
    <t xml:space="preserve">Kč a je nezávislá na objemu produkce. </t>
  </si>
  <si>
    <t>Pomocné výpočty:</t>
  </si>
  <si>
    <r>
      <t>Optimální objem výroby je takový, pro nějž jsou N</t>
    </r>
    <r>
      <rPr>
        <vertAlign val="subscript"/>
        <sz val="10"/>
        <rFont val="Arial CE"/>
        <family val="0"/>
      </rPr>
      <t>mezní</t>
    </r>
    <r>
      <rPr>
        <sz val="10"/>
        <rFont val="Arial CE"/>
        <family val="0"/>
      </rPr>
      <t xml:space="preserve"> = V</t>
    </r>
    <r>
      <rPr>
        <vertAlign val="subscript"/>
        <sz val="10"/>
        <rFont val="Arial CE"/>
        <family val="0"/>
      </rPr>
      <t>mezní</t>
    </r>
    <r>
      <rPr>
        <sz val="10"/>
        <rFont val="Arial CE"/>
        <family val="0"/>
      </rPr>
      <t>, tj. Z</t>
    </r>
    <r>
      <rPr>
        <vertAlign val="subscript"/>
        <sz val="10"/>
        <rFont val="Arial CE"/>
        <family val="0"/>
      </rPr>
      <t>mezní</t>
    </r>
    <r>
      <rPr>
        <sz val="10"/>
        <rFont val="Arial CE"/>
        <family val="0"/>
      </rPr>
      <t xml:space="preserve"> = 0.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</si>
</sst>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"/>
    <numFmt numFmtId="172" formatCode="0.0"/>
    <numFmt numFmtId="173" formatCode="#,##0\ &quot;Kč&quot;"/>
    <numFmt numFmtId="174" formatCode="0.0%"/>
    <numFmt numFmtId="175" formatCode="0.000_ ;[Red]\-0.000\ "/>
    <numFmt numFmtId="176" formatCode="#,##0.00000"/>
    <numFmt numFmtId="177" formatCode="#,##0.0000"/>
    <numFmt numFmtId="178" formatCode="0.00000"/>
    <numFmt numFmtId="179" formatCode="#,##0.000000"/>
    <numFmt numFmtId="180" formatCode="000,000"/>
    <numFmt numFmtId="181" formatCode="h:mm;@"/>
    <numFmt numFmtId="182" formatCode="mmm/yyyy"/>
    <numFmt numFmtId="183" formatCode="[$-405]d\.\ mmmm\ yyyy"/>
    <numFmt numFmtId="184" formatCode="0_ ;[Red]\-0\ "/>
    <numFmt numFmtId="185" formatCode="000\ 00"/>
    <numFmt numFmtId="186" formatCode="0.00_ ;[Red]\-0.00\ "/>
    <numFmt numFmtId="187" formatCode="#,##0_ ;[Red]\-#,##0\ "/>
  </numFmts>
  <fonts count="55">
    <font>
      <sz val="10"/>
      <name val="Arial CE"/>
      <family val="0"/>
    </font>
    <font>
      <sz val="12"/>
      <name val="Arial CE"/>
      <family val="2"/>
    </font>
    <font>
      <sz val="12"/>
      <name val="Arial"/>
      <family val="2"/>
    </font>
    <font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4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 CE"/>
      <family val="0"/>
    </font>
    <font>
      <vertAlign val="subscript"/>
      <sz val="14"/>
      <name val="Arial"/>
      <family val="2"/>
    </font>
    <font>
      <i/>
      <sz val="14"/>
      <name val="Arial"/>
      <family val="2"/>
    </font>
    <font>
      <i/>
      <vertAlign val="subscript"/>
      <sz val="14"/>
      <name val="Arial"/>
      <family val="2"/>
    </font>
    <font>
      <b/>
      <sz val="14"/>
      <color indexed="9"/>
      <name val="Arial CE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name val="Arial"/>
      <family val="2"/>
    </font>
    <font>
      <sz val="8"/>
      <name val="Arial CE"/>
      <family val="0"/>
    </font>
    <font>
      <sz val="12"/>
      <name val="Times New Roman"/>
      <family val="1"/>
    </font>
    <font>
      <sz val="11"/>
      <name val="Arial"/>
      <family val="0"/>
    </font>
    <font>
      <i/>
      <sz val="8"/>
      <name val="Arial CE"/>
      <family val="0"/>
    </font>
    <font>
      <b/>
      <sz val="1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i/>
      <sz val="12"/>
      <name val="Arial"/>
      <family val="2"/>
    </font>
    <font>
      <vertAlign val="subscript"/>
      <sz val="10"/>
      <name val="Arial CE"/>
      <family val="0"/>
    </font>
    <font>
      <vertAlign val="subscript"/>
      <sz val="12"/>
      <name val="Times New Roman"/>
      <family val="1"/>
    </font>
    <font>
      <vertAlign val="subscript"/>
      <sz val="12"/>
      <name val="Arial"/>
      <family val="2"/>
    </font>
    <font>
      <b/>
      <vertAlign val="sub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8" fillId="0" borderId="0" xfId="21" applyFont="1">
      <alignment/>
      <protection/>
    </xf>
    <xf numFmtId="0" fontId="12" fillId="0" borderId="0" xfId="21">
      <alignment/>
      <protection/>
    </xf>
    <xf numFmtId="0" fontId="16" fillId="0" borderId="0" xfId="21" applyFont="1" applyAlignment="1">
      <alignment horizontal="left" vertical="center"/>
      <protection/>
    </xf>
    <xf numFmtId="0" fontId="2" fillId="0" borderId="0" xfId="21" applyFont="1" applyAlignment="1">
      <alignment horizontal="left" wrapText="1"/>
      <protection/>
    </xf>
    <xf numFmtId="0" fontId="2" fillId="0" borderId="0" xfId="21" applyFont="1" applyAlignment="1">
      <alignment wrapText="1"/>
      <protection/>
    </xf>
    <xf numFmtId="0" fontId="2" fillId="0" borderId="0" xfId="21" applyFont="1" applyAlignment="1">
      <alignment horizontal="right" vertical="center" wrapText="1"/>
      <protection/>
    </xf>
    <xf numFmtId="3" fontId="2" fillId="0" borderId="0" xfId="21" applyNumberFormat="1" applyFont="1" applyAlignment="1">
      <alignment horizontal="right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2" fontId="17" fillId="2" borderId="2" xfId="21" applyNumberFormat="1" applyFont="1" applyFill="1" applyBorder="1" applyAlignment="1">
      <alignment horizontal="center" vertical="center" wrapText="1"/>
      <protection/>
    </xf>
    <xf numFmtId="2" fontId="17" fillId="2" borderId="3" xfId="21" applyNumberFormat="1" applyFont="1" applyFill="1" applyBorder="1" applyAlignment="1">
      <alignment horizontal="center" vertical="center" wrapText="1"/>
      <protection/>
    </xf>
    <xf numFmtId="2" fontId="17" fillId="2" borderId="4" xfId="21" applyNumberFormat="1" applyFont="1" applyFill="1" applyBorder="1" applyAlignment="1">
      <alignment horizontal="center" vertical="center" wrapText="1"/>
      <protection/>
    </xf>
    <xf numFmtId="2" fontId="17" fillId="2" borderId="5" xfId="21" applyNumberFormat="1" applyFont="1" applyFill="1" applyBorder="1" applyAlignment="1">
      <alignment horizontal="center" vertical="center" wrapText="1"/>
      <protection/>
    </xf>
    <xf numFmtId="2" fontId="19" fillId="0" borderId="6" xfId="21" applyNumberFormat="1" applyFont="1" applyBorder="1" applyAlignment="1">
      <alignment horizontal="left" vertical="center" wrapText="1" indent="1"/>
      <protection/>
    </xf>
    <xf numFmtId="3" fontId="20" fillId="0" borderId="7" xfId="21" applyNumberFormat="1" applyFont="1" applyBorder="1" applyAlignment="1">
      <alignment horizontal="right" vertical="center" wrapText="1" indent="2"/>
      <protection/>
    </xf>
    <xf numFmtId="3" fontId="20" fillId="0" borderId="8" xfId="21" applyNumberFormat="1" applyFont="1" applyBorder="1" applyAlignment="1">
      <alignment horizontal="right" vertical="center" wrapText="1" indent="2"/>
      <protection/>
    </xf>
    <xf numFmtId="3" fontId="20" fillId="0" borderId="9" xfId="21" applyNumberFormat="1" applyFont="1" applyBorder="1" applyAlignment="1">
      <alignment horizontal="right" vertical="center" wrapText="1" indent="2"/>
      <protection/>
    </xf>
    <xf numFmtId="2" fontId="19" fillId="0" borderId="10" xfId="21" applyNumberFormat="1" applyFont="1" applyBorder="1" applyAlignment="1">
      <alignment horizontal="left" vertical="center" wrapText="1" indent="1"/>
      <protection/>
    </xf>
    <xf numFmtId="2" fontId="20" fillId="0" borderId="11" xfId="21" applyNumberFormat="1" applyFont="1" applyBorder="1" applyAlignment="1">
      <alignment horizontal="right" vertical="center" wrapText="1" indent="2"/>
      <protection/>
    </xf>
    <xf numFmtId="2" fontId="20" fillId="0" borderId="12" xfId="21" applyNumberFormat="1" applyFont="1" applyBorder="1" applyAlignment="1">
      <alignment horizontal="right" vertical="center" wrapText="1" indent="2"/>
      <protection/>
    </xf>
    <xf numFmtId="2" fontId="20" fillId="0" borderId="13" xfId="21" applyNumberFormat="1" applyFont="1" applyBorder="1" applyAlignment="1">
      <alignment horizontal="right" vertical="center" wrapText="1" indent="2"/>
      <protection/>
    </xf>
    <xf numFmtId="2" fontId="19" fillId="0" borderId="14" xfId="21" applyNumberFormat="1" applyFont="1" applyBorder="1" applyAlignment="1">
      <alignment horizontal="left" vertical="center" wrapText="1" indent="1"/>
      <protection/>
    </xf>
    <xf numFmtId="1" fontId="20" fillId="0" borderId="15" xfId="21" applyNumberFormat="1" applyFont="1" applyBorder="1" applyAlignment="1">
      <alignment horizontal="right" vertical="center" wrapText="1" indent="2"/>
      <protection/>
    </xf>
    <xf numFmtId="1" fontId="20" fillId="0" borderId="16" xfId="21" applyNumberFormat="1" applyFont="1" applyBorder="1" applyAlignment="1">
      <alignment horizontal="right" vertical="center" wrapText="1" indent="2"/>
      <protection/>
    </xf>
    <xf numFmtId="1" fontId="20" fillId="0" borderId="17" xfId="21" applyNumberFormat="1" applyFont="1" applyBorder="1" applyAlignment="1">
      <alignment horizontal="right" vertical="center" wrapText="1" indent="2"/>
      <protection/>
    </xf>
    <xf numFmtId="0" fontId="21" fillId="0" borderId="18" xfId="21" applyFont="1" applyBorder="1" applyAlignment="1">
      <alignment vertical="top" wrapText="1"/>
      <protection/>
    </xf>
    <xf numFmtId="0" fontId="22" fillId="0" borderId="18" xfId="21" applyFont="1" applyBorder="1" applyAlignment="1">
      <alignment horizontal="center" vertical="top" wrapText="1"/>
      <protection/>
    </xf>
    <xf numFmtId="0" fontId="23" fillId="0" borderId="18" xfId="21" applyFont="1" applyBorder="1">
      <alignment/>
      <protection/>
    </xf>
    <xf numFmtId="0" fontId="24" fillId="0" borderId="0" xfId="21" applyFont="1" applyBorder="1" applyAlignment="1">
      <alignment vertical="top" wrapText="1"/>
      <protection/>
    </xf>
    <xf numFmtId="0" fontId="20" fillId="0" borderId="0" xfId="21" applyFont="1" applyBorder="1" applyAlignment="1">
      <alignment horizontal="center" vertical="top" wrapText="1"/>
      <protection/>
    </xf>
    <xf numFmtId="0" fontId="25" fillId="0" borderId="0" xfId="21" applyFont="1" applyBorder="1" applyAlignment="1">
      <alignment horizontal="right" vertical="top" wrapText="1"/>
      <protection/>
    </xf>
    <xf numFmtId="3" fontId="25" fillId="0" borderId="0" xfId="21" applyNumberFormat="1" applyFont="1" applyBorder="1" applyAlignment="1">
      <alignment horizontal="center" vertical="top" wrapText="1"/>
      <protection/>
    </xf>
    <xf numFmtId="0" fontId="25" fillId="0" borderId="0" xfId="21" applyFont="1" applyBorder="1" applyAlignment="1">
      <alignment horizontal="left" vertical="top" wrapText="1"/>
      <protection/>
    </xf>
    <xf numFmtId="0" fontId="12" fillId="0" borderId="0" xfId="21" applyFont="1">
      <alignment/>
      <protection/>
    </xf>
    <xf numFmtId="0" fontId="26" fillId="2" borderId="2" xfId="21" applyFont="1" applyFill="1" applyBorder="1" applyAlignment="1">
      <alignment horizontal="center" vertical="center" wrapText="1"/>
      <protection/>
    </xf>
    <xf numFmtId="0" fontId="26" fillId="2" borderId="3" xfId="21" applyFont="1" applyFill="1" applyBorder="1" applyAlignment="1">
      <alignment horizontal="center" vertical="center" wrapText="1"/>
      <protection/>
    </xf>
    <xf numFmtId="0" fontId="26" fillId="2" borderId="4" xfId="21" applyFont="1" applyFill="1" applyBorder="1" applyAlignment="1">
      <alignment horizontal="center" vertical="center" wrapText="1"/>
      <protection/>
    </xf>
    <xf numFmtId="0" fontId="26" fillId="2" borderId="5" xfId="21" applyFont="1" applyFill="1" applyBorder="1" applyAlignment="1">
      <alignment horizontal="center" vertical="center" wrapText="1"/>
      <protection/>
    </xf>
    <xf numFmtId="0" fontId="19" fillId="0" borderId="10" xfId="21" applyFont="1" applyBorder="1" applyAlignment="1">
      <alignment horizontal="left" vertical="center" wrapText="1" indent="1"/>
      <protection/>
    </xf>
    <xf numFmtId="165" fontId="25" fillId="0" borderId="11" xfId="21" applyNumberFormat="1" applyFont="1" applyBorder="1" applyAlignment="1">
      <alignment horizontal="right" vertical="center" wrapText="1" indent="2"/>
      <protection/>
    </xf>
    <xf numFmtId="165" fontId="25" fillId="0" borderId="12" xfId="21" applyNumberFormat="1" applyFont="1" applyBorder="1" applyAlignment="1">
      <alignment horizontal="right" vertical="center" wrapText="1" indent="2"/>
      <protection/>
    </xf>
    <xf numFmtId="165" fontId="25" fillId="0" borderId="13" xfId="21" applyNumberFormat="1" applyFont="1" applyBorder="1" applyAlignment="1">
      <alignment horizontal="right" vertical="center" wrapText="1" indent="2"/>
      <protection/>
    </xf>
    <xf numFmtId="0" fontId="19" fillId="0" borderId="19" xfId="21" applyFont="1" applyBorder="1" applyAlignment="1">
      <alignment horizontal="left" vertical="center" wrapText="1" indent="1"/>
      <protection/>
    </xf>
    <xf numFmtId="165" fontId="25" fillId="0" borderId="20" xfId="21" applyNumberFormat="1" applyFont="1" applyBorder="1" applyAlignment="1">
      <alignment horizontal="right" vertical="center" wrapText="1" indent="2"/>
      <protection/>
    </xf>
    <xf numFmtId="165" fontId="25" fillId="0" borderId="21" xfId="21" applyNumberFormat="1" applyFont="1" applyBorder="1" applyAlignment="1">
      <alignment horizontal="right" vertical="center" wrapText="1" indent="2"/>
      <protection/>
    </xf>
    <xf numFmtId="165" fontId="25" fillId="0" borderId="22" xfId="21" applyNumberFormat="1" applyFont="1" applyBorder="1" applyAlignment="1">
      <alignment horizontal="right" vertical="center" wrapText="1" indent="2"/>
      <protection/>
    </xf>
    <xf numFmtId="0" fontId="27" fillId="0" borderId="2" xfId="21" applyFont="1" applyBorder="1" applyAlignment="1">
      <alignment horizontal="left" vertical="center" wrapText="1" indent="1"/>
      <protection/>
    </xf>
    <xf numFmtId="2" fontId="26" fillId="0" borderId="3" xfId="21" applyNumberFormat="1" applyFont="1" applyBorder="1" applyAlignment="1">
      <alignment horizontal="right" vertical="center" wrapText="1" indent="2"/>
      <protection/>
    </xf>
    <xf numFmtId="2" fontId="26" fillId="0" borderId="4" xfId="21" applyNumberFormat="1" applyFont="1" applyBorder="1" applyAlignment="1">
      <alignment horizontal="right" vertical="center" wrapText="1" indent="2"/>
      <protection/>
    </xf>
    <xf numFmtId="2" fontId="26" fillId="0" borderId="5" xfId="21" applyNumberFormat="1" applyFont="1" applyBorder="1" applyAlignment="1">
      <alignment horizontal="right" vertical="center" wrapText="1" indent="2"/>
      <protection/>
    </xf>
    <xf numFmtId="0" fontId="24" fillId="0" borderId="0" xfId="21" applyFont="1" applyFill="1" applyBorder="1" applyAlignment="1">
      <alignment horizontal="left" vertical="center" wrapText="1"/>
      <protection/>
    </xf>
    <xf numFmtId="0" fontId="2" fillId="0" borderId="0" xfId="21" applyFont="1" applyAlignment="1">
      <alignment horizontal="right"/>
      <protection/>
    </xf>
    <xf numFmtId="3" fontId="2" fillId="0" borderId="0" xfId="21" applyNumberFormat="1" applyFont="1" applyAlignment="1">
      <alignment horizontal="center"/>
      <protection/>
    </xf>
    <xf numFmtId="0" fontId="2" fillId="0" borderId="0" xfId="21" applyFont="1">
      <alignment/>
      <protection/>
    </xf>
    <xf numFmtId="0" fontId="19" fillId="0" borderId="0" xfId="21" applyFont="1" applyFill="1" applyBorder="1" applyAlignment="1">
      <alignment horizontal="right" vertical="center" wrapText="1" indent="1"/>
      <protection/>
    </xf>
    <xf numFmtId="0" fontId="19" fillId="0" borderId="6" xfId="21" applyFont="1" applyBorder="1" applyAlignment="1">
      <alignment horizontal="left" vertical="center" wrapText="1" indent="1"/>
      <protection/>
    </xf>
    <xf numFmtId="165" fontId="25" fillId="0" borderId="7" xfId="21" applyNumberFormat="1" applyFont="1" applyBorder="1" applyAlignment="1">
      <alignment horizontal="right" vertical="center" wrapText="1" indent="2"/>
      <protection/>
    </xf>
    <xf numFmtId="165" fontId="25" fillId="0" borderId="8" xfId="21" applyNumberFormat="1" applyFont="1" applyBorder="1" applyAlignment="1">
      <alignment horizontal="right" vertical="center" wrapText="1" indent="2"/>
      <protection/>
    </xf>
    <xf numFmtId="165" fontId="25" fillId="0" borderId="9" xfId="21" applyNumberFormat="1" applyFont="1" applyBorder="1" applyAlignment="1">
      <alignment horizontal="right" vertical="center" wrapText="1" indent="2"/>
      <protection/>
    </xf>
    <xf numFmtId="3" fontId="2" fillId="0" borderId="0" xfId="21" applyNumberFormat="1" applyFont="1" applyAlignment="1">
      <alignment horizontal="center" vertical="center"/>
      <protection/>
    </xf>
    <xf numFmtId="3" fontId="2" fillId="0" borderId="0" xfId="21" applyNumberFormat="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top" wrapText="1"/>
      <protection/>
    </xf>
    <xf numFmtId="0" fontId="26" fillId="2" borderId="16" xfId="21" applyFont="1" applyFill="1" applyBorder="1" applyAlignment="1">
      <alignment horizontal="center" vertical="top" wrapText="1"/>
      <protection/>
    </xf>
    <xf numFmtId="0" fontId="26" fillId="2" borderId="17" xfId="21" applyFont="1" applyFill="1" applyBorder="1" applyAlignment="1">
      <alignment horizontal="center" vertical="top" wrapText="1"/>
      <protection/>
    </xf>
    <xf numFmtId="0" fontId="25" fillId="0" borderId="6" xfId="21" applyFont="1" applyBorder="1" applyAlignment="1">
      <alignment horizontal="left" vertical="center" wrapText="1" indent="1"/>
      <protection/>
    </xf>
    <xf numFmtId="0" fontId="25" fillId="0" borderId="7" xfId="21" applyFont="1" applyBorder="1" applyAlignment="1">
      <alignment horizontal="right" vertical="center" wrapText="1" indent="1"/>
      <protection/>
    </xf>
    <xf numFmtId="0" fontId="25" fillId="0" borderId="8" xfId="21" applyFont="1" applyBorder="1" applyAlignment="1">
      <alignment horizontal="right" vertical="center" wrapText="1" indent="1"/>
      <protection/>
    </xf>
    <xf numFmtId="0" fontId="25" fillId="0" borderId="9" xfId="21" applyFont="1" applyBorder="1" applyAlignment="1">
      <alignment horizontal="right" vertical="center" wrapText="1" indent="1"/>
      <protection/>
    </xf>
    <xf numFmtId="0" fontId="25" fillId="0" borderId="10" xfId="21" applyFont="1" applyBorder="1" applyAlignment="1">
      <alignment horizontal="left" vertical="center" wrapText="1" indent="1"/>
      <protection/>
    </xf>
    <xf numFmtId="0" fontId="25" fillId="0" borderId="11" xfId="21" applyFont="1" applyBorder="1" applyAlignment="1">
      <alignment horizontal="right" vertical="center" wrapText="1" indent="1"/>
      <protection/>
    </xf>
    <xf numFmtId="0" fontId="25" fillId="0" borderId="12" xfId="21" applyFont="1" applyBorder="1" applyAlignment="1">
      <alignment horizontal="right" vertical="center" wrapText="1" indent="1"/>
      <protection/>
    </xf>
    <xf numFmtId="0" fontId="25" fillId="0" borderId="13" xfId="21" applyFont="1" applyBorder="1" applyAlignment="1">
      <alignment horizontal="right" vertical="center" wrapText="1" indent="1"/>
      <protection/>
    </xf>
    <xf numFmtId="0" fontId="25" fillId="0" borderId="14" xfId="21" applyFont="1" applyBorder="1" applyAlignment="1">
      <alignment horizontal="left" vertical="center" wrapText="1" indent="1"/>
      <protection/>
    </xf>
    <xf numFmtId="3" fontId="25" fillId="0" borderId="15" xfId="21" applyNumberFormat="1" applyFont="1" applyBorder="1" applyAlignment="1">
      <alignment horizontal="right" vertical="center" wrapText="1" indent="1"/>
      <protection/>
    </xf>
    <xf numFmtId="3" fontId="25" fillId="0" borderId="16" xfId="21" applyNumberFormat="1" applyFont="1" applyBorder="1" applyAlignment="1">
      <alignment horizontal="right" vertical="center" wrapText="1" indent="1"/>
      <protection/>
    </xf>
    <xf numFmtId="3" fontId="25" fillId="0" borderId="17" xfId="21" applyNumberFormat="1" applyFont="1" applyBorder="1" applyAlignment="1">
      <alignment horizontal="right" vertical="center" wrapText="1" indent="1"/>
      <protection/>
    </xf>
    <xf numFmtId="0" fontId="12" fillId="0" borderId="18" xfId="21" applyBorder="1">
      <alignment/>
      <protection/>
    </xf>
    <xf numFmtId="0" fontId="12" fillId="0" borderId="18" xfId="21" applyBorder="1" applyAlignment="1">
      <alignment horizontal="right" indent="1"/>
      <protection/>
    </xf>
    <xf numFmtId="0" fontId="12" fillId="0" borderId="0" xfId="21" applyBorder="1">
      <alignment/>
      <protection/>
    </xf>
    <xf numFmtId="0" fontId="25" fillId="0" borderId="0" xfId="21" applyFont="1" applyBorder="1" applyAlignment="1">
      <alignment horizontal="right" vertical="center" wrapText="1" indent="1"/>
      <protection/>
    </xf>
    <xf numFmtId="0" fontId="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right" vertical="center" indent="1"/>
      <protection/>
    </xf>
    <xf numFmtId="0" fontId="25" fillId="0" borderId="23" xfId="21" applyFont="1" applyBorder="1" applyAlignment="1">
      <alignment horizontal="left" vertical="center" wrapText="1" indent="1"/>
      <protection/>
    </xf>
    <xf numFmtId="0" fontId="25" fillId="0" borderId="20" xfId="21" applyFont="1" applyBorder="1" applyAlignment="1">
      <alignment horizontal="center" vertical="top" wrapText="1"/>
      <protection/>
    </xf>
    <xf numFmtId="0" fontId="25" fillId="0" borderId="21" xfId="21" applyFont="1" applyBorder="1" applyAlignment="1">
      <alignment horizontal="center" vertical="top" wrapText="1"/>
      <protection/>
    </xf>
    <xf numFmtId="0" fontId="25" fillId="0" borderId="22" xfId="21" applyFont="1" applyBorder="1" applyAlignment="1">
      <alignment horizontal="center" vertical="top" wrapText="1"/>
      <protection/>
    </xf>
    <xf numFmtId="0" fontId="25" fillId="0" borderId="19" xfId="21" applyFont="1" applyBorder="1" applyAlignment="1">
      <alignment horizontal="left" vertical="top" wrapText="1" indent="1"/>
      <protection/>
    </xf>
    <xf numFmtId="0" fontId="26" fillId="0" borderId="2" xfId="21" applyFont="1" applyBorder="1" applyAlignment="1">
      <alignment horizontal="left" vertical="top" wrapText="1" indent="1"/>
      <protection/>
    </xf>
    <xf numFmtId="0" fontId="26" fillId="0" borderId="3" xfId="21" applyFont="1" applyBorder="1" applyAlignment="1">
      <alignment horizontal="center" vertical="top" wrapText="1"/>
      <protection/>
    </xf>
    <xf numFmtId="0" fontId="26" fillId="0" borderId="4" xfId="21" applyFont="1" applyBorder="1" applyAlignment="1">
      <alignment horizontal="center" vertical="top" wrapText="1"/>
      <protection/>
    </xf>
    <xf numFmtId="0" fontId="26" fillId="0" borderId="5" xfId="21" applyFont="1" applyBorder="1" applyAlignment="1">
      <alignment horizontal="center" vertical="top" wrapText="1"/>
      <protection/>
    </xf>
    <xf numFmtId="3" fontId="2" fillId="0" borderId="0" xfId="21" applyNumberFormat="1" applyFont="1" applyAlignment="1">
      <alignment horizontal="center"/>
      <protection/>
    </xf>
    <xf numFmtId="0" fontId="2" fillId="0" borderId="0" xfId="21" applyFont="1">
      <alignment/>
      <protection/>
    </xf>
    <xf numFmtId="0" fontId="24" fillId="0" borderId="0" xfId="21" applyFont="1" applyBorder="1" applyAlignment="1">
      <alignment horizontal="left" vertical="center" wrapText="1"/>
      <protection/>
    </xf>
    <xf numFmtId="0" fontId="2" fillId="2" borderId="24" xfId="21" applyFont="1" applyFill="1" applyBorder="1" applyAlignment="1">
      <alignment horizontal="left" vertical="center" indent="1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12" fillId="0" borderId="0" xfId="21" applyAlignment="1">
      <alignment vertical="center"/>
      <protection/>
    </xf>
    <xf numFmtId="0" fontId="2" fillId="0" borderId="8" xfId="21" applyFont="1" applyBorder="1" applyAlignment="1">
      <alignment horizontal="left" vertical="center" indent="1"/>
      <protection/>
    </xf>
    <xf numFmtId="3" fontId="2" fillId="0" borderId="8" xfId="21" applyNumberFormat="1" applyFont="1" applyBorder="1" applyAlignment="1">
      <alignment horizontal="right" vertical="center" indent="1"/>
      <protection/>
    </xf>
    <xf numFmtId="0" fontId="2" fillId="0" borderId="12" xfId="21" applyFont="1" applyBorder="1" applyAlignment="1">
      <alignment horizontal="left" vertical="center" indent="1"/>
      <protection/>
    </xf>
    <xf numFmtId="3" fontId="2" fillId="0" borderId="12" xfId="21" applyNumberFormat="1" applyFont="1" applyBorder="1" applyAlignment="1">
      <alignment horizontal="right" vertical="center" indent="1"/>
      <protection/>
    </xf>
    <xf numFmtId="0" fontId="12" fillId="0" borderId="0" xfId="21" applyBorder="1" applyAlignment="1">
      <alignment vertical="center"/>
      <protection/>
    </xf>
    <xf numFmtId="0" fontId="2" fillId="0" borderId="18" xfId="21" applyFont="1" applyBorder="1">
      <alignment/>
      <protection/>
    </xf>
    <xf numFmtId="0" fontId="20" fillId="0" borderId="0" xfId="21" applyFont="1" applyFill="1" applyBorder="1" applyAlignment="1">
      <alignment horizontal="right" vertical="center" wrapText="1"/>
      <protection/>
    </xf>
    <xf numFmtId="0" fontId="12" fillId="0" borderId="0" xfId="21" applyFont="1" applyAlignment="1">
      <alignment horizontal="right"/>
      <protection/>
    </xf>
    <xf numFmtId="173" fontId="6" fillId="0" borderId="0" xfId="21" applyNumberFormat="1" applyFont="1">
      <alignment/>
      <protection/>
    </xf>
    <xf numFmtId="173" fontId="6" fillId="0" borderId="0" xfId="21" applyNumberFormat="1" applyFont="1" applyAlignment="1">
      <alignment horizontal="center"/>
      <protection/>
    </xf>
    <xf numFmtId="0" fontId="29" fillId="0" borderId="0" xfId="21" applyFont="1" applyAlignment="1">
      <alignment horizontal="left"/>
      <protection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174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25" xfId="0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26" xfId="0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 indent="1"/>
    </xf>
    <xf numFmtId="174" fontId="1" fillId="0" borderId="0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0" fontId="1" fillId="0" borderId="31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4" xfId="0" applyFont="1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3" borderId="33" xfId="0" applyFont="1" applyFill="1" applyBorder="1" applyAlignment="1">
      <alignment vertical="center"/>
    </xf>
    <xf numFmtId="0" fontId="39" fillId="3" borderId="36" xfId="0" applyFont="1" applyFill="1" applyBorder="1" applyAlignment="1">
      <alignment vertical="center"/>
    </xf>
    <xf numFmtId="3" fontId="38" fillId="3" borderId="16" xfId="0" applyNumberFormat="1" applyFont="1" applyFill="1" applyBorder="1" applyAlignment="1">
      <alignment horizontal="center" vertical="center"/>
    </xf>
    <xf numFmtId="2" fontId="38" fillId="3" borderId="16" xfId="0" applyNumberFormat="1" applyFont="1" applyFill="1" applyBorder="1" applyAlignment="1">
      <alignment horizontal="right" vertical="center" indent="2"/>
    </xf>
    <xf numFmtId="4" fontId="38" fillId="3" borderId="17" xfId="0" applyNumberFormat="1" applyFont="1" applyFill="1" applyBorder="1" applyAlignment="1">
      <alignment horizontal="right" vertical="center" indent="2"/>
    </xf>
    <xf numFmtId="0" fontId="0" fillId="0" borderId="31" xfId="0" applyBorder="1" applyAlignment="1">
      <alignment/>
    </xf>
    <xf numFmtId="0" fontId="6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4" fillId="0" borderId="0" xfId="21" applyFont="1">
      <alignment/>
      <protection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right" vertical="center"/>
    </xf>
    <xf numFmtId="0" fontId="8" fillId="2" borderId="4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 indent="2"/>
    </xf>
    <xf numFmtId="3" fontId="1" fillId="0" borderId="0" xfId="0" applyNumberFormat="1" applyFont="1" applyBorder="1" applyAlignment="1">
      <alignment horizontal="right" vertical="center" indent="1"/>
    </xf>
    <xf numFmtId="165" fontId="1" fillId="0" borderId="0" xfId="0" applyNumberFormat="1" applyFont="1" applyBorder="1" applyAlignment="1">
      <alignment horizontal="right" vertical="center" indent="1"/>
    </xf>
    <xf numFmtId="165" fontId="2" fillId="0" borderId="0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4" fillId="0" borderId="0" xfId="21" applyFont="1" applyAlignment="1">
      <alignment horizontal="right"/>
      <protection/>
    </xf>
    <xf numFmtId="0" fontId="26" fillId="2" borderId="43" xfId="21" applyFont="1" applyFill="1" applyBorder="1" applyAlignment="1">
      <alignment horizontal="center" vertical="center" wrapText="1"/>
      <protection/>
    </xf>
    <xf numFmtId="0" fontId="26" fillId="2" borderId="44" xfId="21" applyFont="1" applyFill="1" applyBorder="1" applyAlignment="1">
      <alignment horizontal="center" vertical="center" wrapText="1"/>
      <protection/>
    </xf>
    <xf numFmtId="2" fontId="12" fillId="0" borderId="12" xfId="22" applyNumberFormat="1" applyBorder="1" applyAlignment="1">
      <alignment horizontal="center"/>
      <protection/>
    </xf>
    <xf numFmtId="0" fontId="2" fillId="0" borderId="0" xfId="21" applyFont="1" applyAlignment="1">
      <alignment horizontal="left" wrapText="1"/>
      <protection/>
    </xf>
    <xf numFmtId="2" fontId="15" fillId="0" borderId="12" xfId="22" applyNumberFormat="1" applyFont="1" applyBorder="1" applyAlignment="1">
      <alignment horizontal="center"/>
      <protection/>
    </xf>
    <xf numFmtId="0" fontId="2" fillId="0" borderId="0" xfId="22" applyFont="1">
      <alignment/>
      <protection/>
    </xf>
    <xf numFmtId="0" fontId="12" fillId="0" borderId="0" xfId="22">
      <alignment/>
      <protection/>
    </xf>
    <xf numFmtId="0" fontId="46" fillId="0" borderId="0" xfId="22" applyFont="1">
      <alignment/>
      <protection/>
    </xf>
    <xf numFmtId="0" fontId="12" fillId="0" borderId="0" xfId="22" applyFont="1">
      <alignment/>
      <protection/>
    </xf>
    <xf numFmtId="0" fontId="4" fillId="0" borderId="0" xfId="22" applyFont="1">
      <alignment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>
      <alignment horizontal="right"/>
      <protection/>
    </xf>
    <xf numFmtId="0" fontId="12" fillId="0" borderId="45" xfId="22" applyFont="1" applyBorder="1">
      <alignment/>
      <protection/>
    </xf>
    <xf numFmtId="2" fontId="15" fillId="0" borderId="8" xfId="22" applyNumberFormat="1" applyFont="1" applyBorder="1" applyAlignment="1">
      <alignment horizontal="center"/>
      <protection/>
    </xf>
    <xf numFmtId="0" fontId="12" fillId="0" borderId="12" xfId="22" applyBorder="1" applyAlignment="1">
      <alignment horizontal="center"/>
      <protection/>
    </xf>
    <xf numFmtId="0" fontId="12" fillId="0" borderId="45" xfId="22" applyBorder="1">
      <alignment/>
      <protection/>
    </xf>
    <xf numFmtId="0" fontId="16" fillId="0" borderId="0" xfId="22" applyFont="1">
      <alignment/>
      <protection/>
    </xf>
    <xf numFmtId="0" fontId="16" fillId="0" borderId="0" xfId="22" applyFont="1" applyAlignment="1">
      <alignment horizontal="right"/>
      <protection/>
    </xf>
    <xf numFmtId="0" fontId="12" fillId="0" borderId="0" xfId="0" applyFont="1" applyAlignment="1">
      <alignment/>
    </xf>
    <xf numFmtId="0" fontId="12" fillId="0" borderId="0" xfId="22" applyFont="1">
      <alignment/>
      <protection/>
    </xf>
    <xf numFmtId="0" fontId="12" fillId="0" borderId="0" xfId="22" applyFont="1" applyAlignment="1">
      <alignment horizontal="right"/>
      <protection/>
    </xf>
    <xf numFmtId="0" fontId="12" fillId="0" borderId="0" xfId="22" applyFont="1" applyAlignment="1">
      <alignment/>
      <protection/>
    </xf>
    <xf numFmtId="0" fontId="12" fillId="0" borderId="0" xfId="0" applyFont="1" applyAlignment="1">
      <alignment/>
    </xf>
    <xf numFmtId="0" fontId="12" fillId="0" borderId="45" xfId="22" applyFont="1" applyBorder="1">
      <alignment/>
      <protection/>
    </xf>
    <xf numFmtId="0" fontId="12" fillId="0" borderId="0" xfId="22" applyAlignment="1">
      <alignment horizontal="center"/>
      <protection/>
    </xf>
    <xf numFmtId="0" fontId="12" fillId="0" borderId="0" xfId="22" applyAlignment="1">
      <alignment horizontal="right"/>
      <protection/>
    </xf>
    <xf numFmtId="4" fontId="16" fillId="0" borderId="0" xfId="22" applyNumberFormat="1" applyFont="1" applyAlignment="1">
      <alignment horizontal="center"/>
      <protection/>
    </xf>
    <xf numFmtId="0" fontId="16" fillId="0" borderId="4" xfId="22" applyFont="1" applyBorder="1" applyAlignment="1">
      <alignment horizontal="center"/>
      <protection/>
    </xf>
    <xf numFmtId="0" fontId="16" fillId="0" borderId="5" xfId="22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2" fontId="12" fillId="0" borderId="0" xfId="22" applyNumberFormat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6" fillId="0" borderId="24" xfId="22" applyFont="1" applyBorder="1" applyAlignment="1">
      <alignment horizontal="center"/>
      <protection/>
    </xf>
    <xf numFmtId="0" fontId="12" fillId="0" borderId="8" xfId="22" applyBorder="1" applyAlignment="1">
      <alignment horizontal="center"/>
      <protection/>
    </xf>
    <xf numFmtId="0" fontId="12" fillId="0" borderId="8" xfId="22" applyFont="1" applyBorder="1" applyAlignment="1">
      <alignment horizontal="center"/>
      <protection/>
    </xf>
    <xf numFmtId="0" fontId="26" fillId="2" borderId="46" xfId="21" applyFont="1" applyFill="1" applyBorder="1" applyAlignment="1">
      <alignment horizontal="center" vertical="top" wrapText="1"/>
      <protection/>
    </xf>
    <xf numFmtId="0" fontId="26" fillId="2" borderId="47" xfId="2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34" fillId="0" borderId="48" xfId="0" applyFont="1" applyBorder="1" applyAlignment="1">
      <alignment horizontal="center" vertical="top" wrapText="1"/>
    </xf>
    <xf numFmtId="0" fontId="34" fillId="0" borderId="49" xfId="0" applyFont="1" applyBorder="1" applyAlignment="1">
      <alignment horizontal="center" vertical="top" wrapText="1"/>
    </xf>
    <xf numFmtId="0" fontId="34" fillId="0" borderId="50" xfId="0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2" borderId="4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6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20">
      <alignment/>
      <protection/>
    </xf>
    <xf numFmtId="0" fontId="44" fillId="0" borderId="0" xfId="20" applyFont="1" applyAlignment="1">
      <alignment horizontal="left" vertical="center"/>
      <protection/>
    </xf>
    <xf numFmtId="0" fontId="12" fillId="0" borderId="0" xfId="20" applyAlignment="1">
      <alignment vertical="center"/>
      <protection/>
    </xf>
    <xf numFmtId="3" fontId="2" fillId="0" borderId="0" xfId="20" applyNumberFormat="1" applyFont="1" applyAlignment="1">
      <alignment horizontal="center" vertical="center"/>
      <protection/>
    </xf>
    <xf numFmtId="0" fontId="44" fillId="0" borderId="0" xfId="20" applyFont="1" applyAlignment="1">
      <alignment vertical="center"/>
      <protection/>
    </xf>
    <xf numFmtId="0" fontId="31" fillId="0" borderId="0" xfId="20" applyFont="1" applyAlignment="1">
      <alignment horizontal="right"/>
      <protection/>
    </xf>
    <xf numFmtId="3" fontId="44" fillId="0" borderId="0" xfId="20" applyNumberFormat="1" applyFont="1" applyAlignment="1">
      <alignment horizontal="right" vertical="center" indent="1"/>
      <protection/>
    </xf>
    <xf numFmtId="0" fontId="44" fillId="0" borderId="0" xfId="20" applyFont="1" applyAlignment="1">
      <alignment horizontal="right" vertical="center" indent="1"/>
      <protection/>
    </xf>
    <xf numFmtId="0" fontId="15" fillId="0" borderId="0" xfId="20" applyFont="1" applyAlignment="1">
      <alignment horizontal="center"/>
      <protection/>
    </xf>
    <xf numFmtId="2" fontId="44" fillId="0" borderId="0" xfId="20" applyNumberFormat="1" applyFont="1" applyAlignment="1">
      <alignment horizontal="right" vertical="center" indent="1"/>
      <protection/>
    </xf>
    <xf numFmtId="0" fontId="31" fillId="0" borderId="0" xfId="20" applyFont="1" applyAlignment="1">
      <alignment horizontal="right" vertical="center"/>
      <protection/>
    </xf>
    <xf numFmtId="0" fontId="15" fillId="0" borderId="0" xfId="20" applyFont="1" applyAlignment="1">
      <alignment horizontal="right"/>
      <protection/>
    </xf>
    <xf numFmtId="0" fontId="44" fillId="0" borderId="0" xfId="20" applyFont="1" applyAlignment="1">
      <alignment horizontal="left" vertical="center"/>
      <protection/>
    </xf>
    <xf numFmtId="0" fontId="44" fillId="0" borderId="0" xfId="20" applyFont="1" applyAlignment="1">
      <alignment horizontal="center" vertical="center"/>
      <protection/>
    </xf>
    <xf numFmtId="187" fontId="29" fillId="0" borderId="0" xfId="20" applyNumberFormat="1" applyFont="1" applyAlignment="1">
      <alignment horizontal="right" vertical="center" indent="1"/>
      <protection/>
    </xf>
    <xf numFmtId="0" fontId="12" fillId="0" borderId="0" xfId="20" applyAlignment="1">
      <alignment/>
      <protection/>
    </xf>
    <xf numFmtId="0" fontId="32" fillId="0" borderId="0" xfId="20" applyFont="1" applyAlignment="1">
      <alignment horizontal="center"/>
      <protection/>
    </xf>
    <xf numFmtId="0" fontId="32" fillId="0" borderId="0" xfId="20" applyFont="1" applyAlignment="1">
      <alignment horizontal="center"/>
      <protection/>
    </xf>
    <xf numFmtId="0" fontId="16" fillId="2" borderId="52" xfId="20" applyFont="1" applyFill="1" applyBorder="1" applyAlignment="1">
      <alignment horizontal="left" vertical="center" indent="2"/>
      <protection/>
    </xf>
    <xf numFmtId="0" fontId="16" fillId="2" borderId="53" xfId="20" applyFont="1" applyFill="1" applyBorder="1" applyAlignment="1">
      <alignment horizontal="left" vertical="center" indent="2"/>
      <protection/>
    </xf>
    <xf numFmtId="0" fontId="16" fillId="2" borderId="11" xfId="20" applyFont="1" applyFill="1" applyBorder="1" applyAlignment="1">
      <alignment horizontal="left" vertical="center" indent="2"/>
      <protection/>
    </xf>
    <xf numFmtId="0" fontId="16" fillId="2" borderId="12" xfId="20" applyFont="1" applyFill="1" applyBorder="1" applyAlignment="1">
      <alignment horizontal="center" vertical="center"/>
      <protection/>
    </xf>
    <xf numFmtId="0" fontId="32" fillId="2" borderId="12" xfId="20" applyFont="1" applyFill="1" applyBorder="1" applyAlignment="1">
      <alignment horizontal="center" vertical="center" wrapText="1"/>
      <protection/>
    </xf>
    <xf numFmtId="0" fontId="12" fillId="0" borderId="0" xfId="20" applyAlignment="1">
      <alignment horizontal="center" wrapText="1"/>
      <protection/>
    </xf>
    <xf numFmtId="0" fontId="12" fillId="0" borderId="0" xfId="20" applyAlignment="1">
      <alignment wrapText="1"/>
      <protection/>
    </xf>
    <xf numFmtId="0" fontId="31" fillId="0" borderId="12" xfId="20" applyFont="1" applyBorder="1" applyAlignment="1">
      <alignment horizontal="center" vertical="center"/>
      <protection/>
    </xf>
    <xf numFmtId="0" fontId="44" fillId="0" borderId="52" xfId="20" applyFont="1" applyBorder="1" applyAlignment="1">
      <alignment horizontal="center" vertical="center"/>
      <protection/>
    </xf>
    <xf numFmtId="0" fontId="44" fillId="0" borderId="53" xfId="20" applyFont="1" applyBorder="1" applyAlignment="1">
      <alignment horizontal="center" vertical="center"/>
      <protection/>
    </xf>
    <xf numFmtId="0" fontId="44" fillId="0" borderId="11" xfId="20" applyFont="1" applyBorder="1" applyAlignment="1">
      <alignment horizontal="center" vertical="center"/>
      <protection/>
    </xf>
    <xf numFmtId="3" fontId="44" fillId="0" borderId="52" xfId="20" applyNumberFormat="1" applyFont="1" applyBorder="1" applyAlignment="1">
      <alignment horizontal="right" vertical="center" indent="1"/>
      <protection/>
    </xf>
    <xf numFmtId="3" fontId="44" fillId="0" borderId="53" xfId="20" applyNumberFormat="1" applyFont="1" applyBorder="1" applyAlignment="1">
      <alignment horizontal="right" vertical="center" indent="1"/>
      <protection/>
    </xf>
    <xf numFmtId="3" fontId="44" fillId="0" borderId="11" xfId="20" applyNumberFormat="1" applyFont="1" applyBorder="1" applyAlignment="1">
      <alignment horizontal="right" vertical="center" indent="1"/>
      <protection/>
    </xf>
    <xf numFmtId="171" fontId="12" fillId="0" borderId="12" xfId="20" applyNumberFormat="1" applyBorder="1" applyAlignment="1">
      <alignment horizontal="center" vertical="center"/>
      <protection/>
    </xf>
    <xf numFmtId="3" fontId="44" fillId="0" borderId="12" xfId="20" applyNumberFormat="1" applyFont="1" applyBorder="1" applyAlignment="1">
      <alignment horizontal="right" vertical="center" indent="1"/>
      <protection/>
    </xf>
    <xf numFmtId="0" fontId="44" fillId="0" borderId="12" xfId="20" applyFont="1" applyBorder="1" applyAlignment="1">
      <alignment horizontal="right" vertical="center" indent="1"/>
      <protection/>
    </xf>
    <xf numFmtId="0" fontId="12" fillId="0" borderId="0" xfId="20" applyAlignment="1">
      <alignment horizontal="center"/>
      <protection/>
    </xf>
    <xf numFmtId="0" fontId="12" fillId="0" borderId="0" xfId="20" applyAlignment="1">
      <alignment horizontal="center"/>
      <protection/>
    </xf>
    <xf numFmtId="0" fontId="44" fillId="0" borderId="12" xfId="20" applyFont="1" applyBorder="1" applyAlignment="1">
      <alignment horizontal="center" vertical="center"/>
      <protection/>
    </xf>
    <xf numFmtId="170" fontId="15" fillId="0" borderId="0" xfId="20" applyNumberFormat="1" applyFont="1" applyAlignment="1">
      <alignment horizontal="center"/>
      <protection/>
    </xf>
    <xf numFmtId="170" fontId="15" fillId="0" borderId="0" xfId="20" applyNumberFormat="1" applyFont="1">
      <alignment/>
      <protection/>
    </xf>
    <xf numFmtId="0" fontId="15" fillId="0" borderId="0" xfId="20" applyFont="1" applyAlignment="1">
      <alignment horizontal="center"/>
      <protection/>
    </xf>
    <xf numFmtId="0" fontId="31" fillId="0" borderId="16" xfId="20" applyFont="1" applyBorder="1" applyAlignment="1">
      <alignment horizontal="center" vertical="center"/>
      <protection/>
    </xf>
    <xf numFmtId="0" fontId="44" fillId="0" borderId="16" xfId="20" applyFont="1" applyBorder="1" applyAlignment="1">
      <alignment horizontal="center" vertical="center"/>
      <protection/>
    </xf>
    <xf numFmtId="3" fontId="44" fillId="0" borderId="16" xfId="20" applyNumberFormat="1" applyFont="1" applyBorder="1" applyAlignment="1">
      <alignment horizontal="right" vertical="center" indent="1"/>
      <protection/>
    </xf>
    <xf numFmtId="171" fontId="12" fillId="0" borderId="16" xfId="20" applyNumberFormat="1" applyBorder="1" applyAlignment="1">
      <alignment horizontal="center" vertical="center"/>
      <protection/>
    </xf>
    <xf numFmtId="0" fontId="44" fillId="0" borderId="16" xfId="20" applyFont="1" applyBorder="1" applyAlignment="1">
      <alignment horizontal="right" vertical="center" indent="1"/>
      <protection/>
    </xf>
    <xf numFmtId="0" fontId="44" fillId="0" borderId="8" xfId="20" applyFont="1" applyBorder="1" applyAlignment="1">
      <alignment horizontal="center" vertical="center"/>
      <protection/>
    </xf>
    <xf numFmtId="3" fontId="44" fillId="0" borderId="8" xfId="20" applyNumberFormat="1" applyFont="1" applyBorder="1" applyAlignment="1">
      <alignment horizontal="right" vertical="center" indent="1"/>
      <protection/>
    </xf>
    <xf numFmtId="0" fontId="12" fillId="0" borderId="8" xfId="20" applyBorder="1" applyAlignment="1">
      <alignment horizontal="right" vertical="center" indent="1"/>
      <protection/>
    </xf>
    <xf numFmtId="0" fontId="44" fillId="0" borderId="8" xfId="20" applyFont="1" applyBorder="1" applyAlignment="1">
      <alignment horizontal="right" vertical="center" indent="1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4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4" fontId="2" fillId="0" borderId="0" xfId="20" applyNumberFormat="1" applyFont="1" applyAlignment="1">
      <alignment horizontal="right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2" fontId="4" fillId="0" borderId="0" xfId="20" applyNumberFormat="1" applyFont="1" applyFill="1" applyBorder="1" applyAlignment="1">
      <alignment horizontal="right" vertical="center"/>
      <protection/>
    </xf>
    <xf numFmtId="0" fontId="12" fillId="0" borderId="0" xfId="20" applyFill="1">
      <alignment/>
      <protection/>
    </xf>
    <xf numFmtId="0" fontId="41" fillId="0" borderId="0" xfId="21" applyFont="1">
      <alignment/>
      <protection/>
    </xf>
    <xf numFmtId="0" fontId="16" fillId="0" borderId="0" xfId="20" applyFont="1" applyFill="1" applyBorder="1" applyAlignment="1">
      <alignment horizontal="left" vertical="center"/>
      <protection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 indent="2"/>
    </xf>
    <xf numFmtId="165" fontId="0" fillId="0" borderId="12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5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0" fillId="0" borderId="42" xfId="0" applyBorder="1" applyAlignment="1">
      <alignment horizontal="right" indent="2"/>
    </xf>
    <xf numFmtId="0" fontId="0" fillId="0" borderId="57" xfId="0" applyBorder="1" applyAlignment="1">
      <alignment horizontal="right" indent="2"/>
    </xf>
    <xf numFmtId="0" fontId="0" fillId="0" borderId="41" xfId="0" applyBorder="1" applyAlignment="1">
      <alignment horizontal="right" indent="2"/>
    </xf>
    <xf numFmtId="0" fontId="0" fillId="0" borderId="58" xfId="0" applyBorder="1" applyAlignment="1">
      <alignment horizontal="right" indent="2"/>
    </xf>
    <xf numFmtId="0" fontId="0" fillId="0" borderId="56" xfId="0" applyBorder="1" applyAlignment="1">
      <alignment horizontal="right" indent="2"/>
    </xf>
    <xf numFmtId="0" fontId="0" fillId="0" borderId="59" xfId="0" applyBorder="1" applyAlignment="1">
      <alignment horizontal="right" indent="2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0" xfId="0" applyFont="1" applyAlignment="1">
      <alignment/>
    </xf>
    <xf numFmtId="0" fontId="45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3_rozhrani_obecne" xfId="20"/>
    <cellStyle name="normální_graf1" xfId="21"/>
    <cellStyle name="normální_priklady_automaticke" xfId="22"/>
    <cellStyle name="Percent" xfId="23"/>
    <cellStyle name="Followed Hyperlink" xfId="24"/>
  </cellStyles>
  <dxfs count="4">
    <dxf>
      <font>
        <color auto="1"/>
      </font>
      <fill>
        <patternFill>
          <bgColor rgb="FFFFCC00"/>
        </patternFill>
      </fill>
      <border/>
    </dxf>
    <dxf>
      <border/>
    </dxf>
    <dxf>
      <fill>
        <patternFill>
          <bgColor rgb="FFFFCC99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25390625" style="251" customWidth="1"/>
    <col min="2" max="2" width="13.00390625" style="251" customWidth="1"/>
    <col min="3" max="6" width="3.25390625" style="251" customWidth="1"/>
    <col min="7" max="10" width="2.75390625" style="251" customWidth="1"/>
    <col min="11" max="29" width="3.25390625" style="251" customWidth="1"/>
    <col min="30" max="38" width="3.75390625" style="251" customWidth="1"/>
    <col min="39" max="49" width="2.75390625" style="251" customWidth="1"/>
    <col min="50" max="16384" width="9.125" style="251" customWidth="1"/>
  </cols>
  <sheetData>
    <row r="2" ht="15">
      <c r="B2" s="250" t="s">
        <v>154</v>
      </c>
    </row>
    <row r="3" ht="23.25">
      <c r="B3" s="252" t="s">
        <v>155</v>
      </c>
    </row>
    <row r="4" spans="2:38" ht="23.25">
      <c r="B4" s="252"/>
      <c r="AF4" s="253"/>
      <c r="AG4" s="269"/>
      <c r="AH4" s="269"/>
      <c r="AI4" s="253"/>
      <c r="AJ4" s="269"/>
      <c r="AK4" s="269"/>
      <c r="AL4" s="269"/>
    </row>
    <row r="5" ht="15.75">
      <c r="B5" s="254" t="s">
        <v>156</v>
      </c>
    </row>
    <row r="6" ht="15.75">
      <c r="B6" s="254"/>
    </row>
    <row r="7" ht="12.75">
      <c r="B7" s="253" t="s">
        <v>157</v>
      </c>
    </row>
    <row r="8" spans="9:20" ht="14.25">
      <c r="I8" s="253" t="s">
        <v>158</v>
      </c>
      <c r="K8" s="269">
        <f>E10</f>
        <v>1000</v>
      </c>
      <c r="L8" s="269"/>
      <c r="M8" s="255" t="s">
        <v>152</v>
      </c>
      <c r="N8" s="270">
        <f>F11</f>
        <v>50</v>
      </c>
      <c r="O8" s="270"/>
      <c r="P8" s="253" t="s">
        <v>159</v>
      </c>
      <c r="Q8" s="255" t="s">
        <v>152</v>
      </c>
      <c r="R8" s="270">
        <f>F12</f>
        <v>2</v>
      </c>
      <c r="S8" s="270"/>
      <c r="T8" s="253" t="s">
        <v>192</v>
      </c>
    </row>
    <row r="9" ht="12.75">
      <c r="B9" s="253"/>
    </row>
    <row r="10" spans="3:11" ht="15" customHeight="1">
      <c r="C10" s="256" t="s">
        <v>193</v>
      </c>
      <c r="E10" s="270">
        <v>1000</v>
      </c>
      <c r="F10" s="270"/>
      <c r="G10" s="253" t="s">
        <v>47</v>
      </c>
      <c r="K10" s="253" t="s">
        <v>194</v>
      </c>
    </row>
    <row r="11" spans="3:11" ht="15" customHeight="1">
      <c r="C11" s="256" t="s">
        <v>195</v>
      </c>
      <c r="F11" s="251">
        <v>50</v>
      </c>
      <c r="G11" s="253" t="s">
        <v>47</v>
      </c>
      <c r="K11" s="253" t="s">
        <v>196</v>
      </c>
    </row>
    <row r="12" spans="3:11" ht="15" customHeight="1">
      <c r="C12" s="256" t="s">
        <v>197</v>
      </c>
      <c r="F12" s="251">
        <v>2</v>
      </c>
      <c r="G12" s="253" t="s">
        <v>47</v>
      </c>
      <c r="K12" s="253" t="s">
        <v>198</v>
      </c>
    </row>
    <row r="13" spans="2:5" ht="22.5" customHeight="1">
      <c r="B13" s="253" t="s">
        <v>160</v>
      </c>
      <c r="C13" s="256"/>
      <c r="E13" s="253"/>
    </row>
    <row r="14" spans="2:21" ht="8.25" customHeight="1" thickBot="1">
      <c r="B14" s="257"/>
      <c r="C14" s="257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</row>
    <row r="15" ht="18" customHeight="1" thickTop="1">
      <c r="B15" s="261" t="s">
        <v>161</v>
      </c>
    </row>
    <row r="16" spans="2:4" ht="19.5" customHeight="1">
      <c r="B16" s="256" t="s">
        <v>162</v>
      </c>
      <c r="D16" s="255" t="s">
        <v>163</v>
      </c>
    </row>
    <row r="17" spans="2:3" ht="19.5" customHeight="1">
      <c r="B17" s="256" t="s">
        <v>199</v>
      </c>
      <c r="C17" s="253" t="s">
        <v>200</v>
      </c>
    </row>
    <row r="18" spans="2:5" ht="19.5" customHeight="1">
      <c r="B18" s="262" t="s">
        <v>201</v>
      </c>
      <c r="C18" s="271">
        <f>SQRT(E10/F12)</f>
        <v>22.360679774997898</v>
      </c>
      <c r="D18" s="271"/>
      <c r="E18" s="261" t="s">
        <v>48</v>
      </c>
    </row>
    <row r="20" spans="2:13" ht="12.75">
      <c r="B20" s="263" t="s">
        <v>164</v>
      </c>
      <c r="G20" s="269">
        <f>FLOOR(C18,1)</f>
        <v>22</v>
      </c>
      <c r="H20" s="269"/>
      <c r="I20" s="253" t="s">
        <v>165</v>
      </c>
      <c r="L20" s="251">
        <f>CEILING(C18,1)</f>
        <v>23</v>
      </c>
      <c r="M20" s="253" t="s">
        <v>166</v>
      </c>
    </row>
    <row r="21" ht="12.75">
      <c r="B21" s="264" t="s">
        <v>167</v>
      </c>
    </row>
    <row r="23" spans="2:8" ht="12.75">
      <c r="B23" s="265" t="s">
        <v>168</v>
      </c>
      <c r="C23" s="266">
        <f>G20</f>
        <v>22</v>
      </c>
      <c r="D23" s="266" t="s">
        <v>169</v>
      </c>
      <c r="E23" s="271">
        <f>K8/G20+N8+R8*G20</f>
        <v>139.45454545454544</v>
      </c>
      <c r="F23" s="271"/>
      <c r="G23" s="271"/>
      <c r="H23" s="261" t="s">
        <v>47</v>
      </c>
    </row>
    <row r="24" spans="2:8" ht="12.75">
      <c r="B24" s="265" t="s">
        <v>168</v>
      </c>
      <c r="C24" s="266">
        <f>L20</f>
        <v>23</v>
      </c>
      <c r="D24" s="266" t="s">
        <v>169</v>
      </c>
      <c r="E24" s="271">
        <f>K8/L20+N8+R8*L20</f>
        <v>139.47826086956522</v>
      </c>
      <c r="F24" s="271"/>
      <c r="G24" s="271"/>
      <c r="H24" s="261" t="s">
        <v>47</v>
      </c>
    </row>
    <row r="27" spans="2:14" ht="12.75">
      <c r="B27" s="253" t="s">
        <v>170</v>
      </c>
      <c r="L27" s="269">
        <f>IF(E23&lt;E24,C23,C24)</f>
        <v>22</v>
      </c>
      <c r="M27" s="269"/>
      <c r="N27" s="253" t="s">
        <v>171</v>
      </c>
    </row>
    <row r="29" ht="12.75">
      <c r="B29" s="261" t="s">
        <v>172</v>
      </c>
    </row>
    <row r="30" ht="18.75" customHeight="1">
      <c r="B30" s="263" t="s">
        <v>173</v>
      </c>
    </row>
    <row r="32" spans="2:10" ht="15.75">
      <c r="B32" s="256" t="s">
        <v>202</v>
      </c>
      <c r="C32" s="253" t="s">
        <v>174</v>
      </c>
      <c r="G32" s="256">
        <f>F11</f>
        <v>50</v>
      </c>
      <c r="H32" s="253" t="s">
        <v>152</v>
      </c>
      <c r="I32" s="251">
        <f>2*F12</f>
        <v>4</v>
      </c>
      <c r="J32" s="253" t="s">
        <v>159</v>
      </c>
    </row>
    <row r="34" ht="12.75">
      <c r="B34" s="263" t="s">
        <v>175</v>
      </c>
    </row>
    <row r="35" spans="7:22" ht="12.75">
      <c r="G35" s="256">
        <f>G32</f>
        <v>50</v>
      </c>
      <c r="H35" s="253" t="s">
        <v>152</v>
      </c>
      <c r="I35" s="251">
        <f>I32</f>
        <v>4</v>
      </c>
      <c r="J35" s="253" t="s">
        <v>159</v>
      </c>
      <c r="K35" s="255" t="s">
        <v>117</v>
      </c>
      <c r="L35" s="269">
        <f>K8</f>
        <v>1000</v>
      </c>
      <c r="M35" s="269"/>
      <c r="N35" s="253" t="s">
        <v>176</v>
      </c>
      <c r="O35" s="253" t="s">
        <v>159</v>
      </c>
      <c r="P35" s="253" t="s">
        <v>152</v>
      </c>
      <c r="Q35" s="269">
        <f>N8</f>
        <v>50</v>
      </c>
      <c r="R35" s="269"/>
      <c r="S35" s="255" t="s">
        <v>152</v>
      </c>
      <c r="T35" s="269">
        <f>R8</f>
        <v>2</v>
      </c>
      <c r="U35" s="269"/>
      <c r="V35" s="253" t="s">
        <v>159</v>
      </c>
    </row>
    <row r="36" spans="9:14" ht="12.75">
      <c r="I36" s="274" t="s">
        <v>177</v>
      </c>
      <c r="J36" s="274"/>
      <c r="K36" s="274"/>
      <c r="L36" s="275">
        <f>SQRT(L35/T35)</f>
        <v>22.360679774997898</v>
      </c>
      <c r="M36" s="275"/>
      <c r="N36" s="253" t="s">
        <v>48</v>
      </c>
    </row>
    <row r="38" spans="2:10" ht="21" customHeight="1">
      <c r="B38" s="263" t="s">
        <v>178</v>
      </c>
      <c r="H38" s="269">
        <f>L27</f>
        <v>22</v>
      </c>
      <c r="I38" s="269"/>
      <c r="J38" s="253" t="s">
        <v>179</v>
      </c>
    </row>
    <row r="40" spans="2:13" ht="14.25">
      <c r="B40" s="256" t="s">
        <v>158</v>
      </c>
      <c r="D40" s="269">
        <f>K8</f>
        <v>1000</v>
      </c>
      <c r="E40" s="269"/>
      <c r="F40" s="253" t="s">
        <v>152</v>
      </c>
      <c r="G40" s="269">
        <f>N8</f>
        <v>50</v>
      </c>
      <c r="H40" s="269"/>
      <c r="I40" s="253" t="s">
        <v>180</v>
      </c>
      <c r="K40" s="270">
        <f>R8</f>
        <v>2</v>
      </c>
      <c r="L40" s="270"/>
      <c r="M40" s="253" t="s">
        <v>192</v>
      </c>
    </row>
    <row r="41" spans="2:7" ht="12.75">
      <c r="B41" s="262" t="s">
        <v>158</v>
      </c>
      <c r="C41" s="261"/>
      <c r="D41" s="276">
        <f>D40+G40*H38+K40*H38*H38</f>
        <v>3068</v>
      </c>
      <c r="E41" s="276"/>
      <c r="F41" s="276"/>
      <c r="G41" s="261" t="s">
        <v>47</v>
      </c>
    </row>
    <row r="44" ht="15.75">
      <c r="B44" s="254" t="s">
        <v>181</v>
      </c>
    </row>
    <row r="46" spans="2:37" ht="12.75">
      <c r="B46" s="267" t="s">
        <v>182</v>
      </c>
      <c r="AD46" s="251">
        <f>L27-2</f>
        <v>20</v>
      </c>
      <c r="AE46" s="253" t="s">
        <v>183</v>
      </c>
      <c r="AF46" s="251">
        <f>AD46+1</f>
        <v>21</v>
      </c>
      <c r="AG46" s="253" t="s">
        <v>184</v>
      </c>
      <c r="AH46" s="251">
        <f>AF46+1</f>
        <v>22</v>
      </c>
      <c r="AI46" s="253" t="s">
        <v>185</v>
      </c>
      <c r="AJ46" s="251">
        <f>AH46+3</f>
        <v>25</v>
      </c>
      <c r="AK46" s="253" t="s">
        <v>186</v>
      </c>
    </row>
    <row r="47" ht="12.75">
      <c r="B47" s="264" t="s">
        <v>187</v>
      </c>
    </row>
    <row r="48" spans="2:37" ht="9" customHeight="1" thickBot="1">
      <c r="B48" s="268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</row>
    <row r="49" ht="14.25" thickBot="1" thickTop="1"/>
    <row r="50" spans="3:18" ht="15" thickBot="1">
      <c r="C50" s="277" t="s">
        <v>159</v>
      </c>
      <c r="D50" s="272"/>
      <c r="E50" s="272" t="s">
        <v>188</v>
      </c>
      <c r="F50" s="272"/>
      <c r="G50" s="272" t="s">
        <v>189</v>
      </c>
      <c r="H50" s="272"/>
      <c r="I50" s="272" t="s">
        <v>190</v>
      </c>
      <c r="J50" s="272"/>
      <c r="K50" s="272" t="s">
        <v>118</v>
      </c>
      <c r="L50" s="272"/>
      <c r="M50" s="272" t="s">
        <v>191</v>
      </c>
      <c r="N50" s="272"/>
      <c r="O50" s="272" t="s">
        <v>203</v>
      </c>
      <c r="P50" s="272"/>
      <c r="Q50" s="272" t="s">
        <v>204</v>
      </c>
      <c r="R50" s="273"/>
    </row>
    <row r="51" spans="3:18" ht="12.75">
      <c r="C51" s="278">
        <f>AD46</f>
        <v>20</v>
      </c>
      <c r="D51" s="278"/>
      <c r="E51" s="279" t="s">
        <v>35</v>
      </c>
      <c r="F51" s="278"/>
      <c r="G51" s="278">
        <f aca="true" t="shared" si="0" ref="G51:G56">$D$40+$G$40*C51+$K$40*C51*C51</f>
        <v>2800</v>
      </c>
      <c r="H51" s="278"/>
      <c r="I51" s="279" t="s">
        <v>35</v>
      </c>
      <c r="J51" s="278"/>
      <c r="K51" s="258">
        <f aca="true" t="shared" si="1" ref="K51:K56">G51/C51</f>
        <v>140</v>
      </c>
      <c r="L51" s="258"/>
      <c r="M51" s="279" t="s">
        <v>35</v>
      </c>
      <c r="N51" s="278"/>
      <c r="O51" s="279" t="s">
        <v>35</v>
      </c>
      <c r="P51" s="278"/>
      <c r="Q51" s="279" t="s">
        <v>35</v>
      </c>
      <c r="R51" s="278"/>
    </row>
    <row r="52" spans="3:18" ht="12.75">
      <c r="C52" s="259">
        <f>C51+1</f>
        <v>21</v>
      </c>
      <c r="D52" s="259"/>
      <c r="E52" s="259">
        <f>C52-C51</f>
        <v>1</v>
      </c>
      <c r="F52" s="259"/>
      <c r="G52" s="259">
        <f t="shared" si="0"/>
        <v>2932</v>
      </c>
      <c r="H52" s="259"/>
      <c r="I52" s="259">
        <f>G52-G51</f>
        <v>132</v>
      </c>
      <c r="J52" s="259"/>
      <c r="K52" s="249">
        <f t="shared" si="1"/>
        <v>139.61904761904762</v>
      </c>
      <c r="L52" s="249"/>
      <c r="M52" s="247">
        <f>K52-K51</f>
        <v>-0.3809523809523796</v>
      </c>
      <c r="N52" s="259"/>
      <c r="O52" s="259">
        <f>I52/K52</f>
        <v>0.9454297407912687</v>
      </c>
      <c r="P52" s="259"/>
      <c r="Q52" s="259">
        <f>O52-1</f>
        <v>-0.054570259208731264</v>
      </c>
      <c r="R52" s="259"/>
    </row>
    <row r="53" spans="3:18" ht="12.75">
      <c r="C53" s="259">
        <f>C52+1</f>
        <v>22</v>
      </c>
      <c r="D53" s="259"/>
      <c r="E53" s="259">
        <f>C53-C52</f>
        <v>1</v>
      </c>
      <c r="F53" s="259"/>
      <c r="G53" s="259">
        <f t="shared" si="0"/>
        <v>3068</v>
      </c>
      <c r="H53" s="259"/>
      <c r="I53" s="259">
        <f>G53-G52</f>
        <v>136</v>
      </c>
      <c r="J53" s="259"/>
      <c r="K53" s="249">
        <f t="shared" si="1"/>
        <v>139.45454545454547</v>
      </c>
      <c r="L53" s="249"/>
      <c r="M53" s="247">
        <f>K53-K52</f>
        <v>-0.16450216450215294</v>
      </c>
      <c r="N53" s="259"/>
      <c r="O53" s="259">
        <f>I53/K53</f>
        <v>0.9752281616688395</v>
      </c>
      <c r="P53" s="259"/>
      <c r="Q53" s="259">
        <f>O53-1</f>
        <v>-0.02477183833116048</v>
      </c>
      <c r="R53" s="259"/>
    </row>
    <row r="54" spans="3:18" ht="12.75">
      <c r="C54" s="259">
        <f>C53+1</f>
        <v>23</v>
      </c>
      <c r="D54" s="259"/>
      <c r="E54" s="259">
        <f>C54-C53</f>
        <v>1</v>
      </c>
      <c r="F54" s="259"/>
      <c r="G54" s="259">
        <f t="shared" si="0"/>
        <v>3208</v>
      </c>
      <c r="H54" s="259"/>
      <c r="I54" s="259">
        <f>G54-G53</f>
        <v>140</v>
      </c>
      <c r="J54" s="259"/>
      <c r="K54" s="249">
        <f t="shared" si="1"/>
        <v>139.47826086956522</v>
      </c>
      <c r="L54" s="249"/>
      <c r="M54" s="247">
        <f>K54-K53</f>
        <v>0.023715415019751163</v>
      </c>
      <c r="N54" s="259"/>
      <c r="O54" s="259">
        <f>I54/K54</f>
        <v>1.0037406483790523</v>
      </c>
      <c r="P54" s="259"/>
      <c r="Q54" s="259">
        <f>O54-1</f>
        <v>0.0037406483790523026</v>
      </c>
      <c r="R54" s="259"/>
    </row>
    <row r="55" spans="3:18" ht="12.75">
      <c r="C55" s="259">
        <f>C54+1</f>
        <v>24</v>
      </c>
      <c r="D55" s="259"/>
      <c r="E55" s="259">
        <f>C55-C54</f>
        <v>1</v>
      </c>
      <c r="F55" s="259"/>
      <c r="G55" s="259">
        <f t="shared" si="0"/>
        <v>3352</v>
      </c>
      <c r="H55" s="259"/>
      <c r="I55" s="259">
        <f>G55-G54</f>
        <v>144</v>
      </c>
      <c r="J55" s="259"/>
      <c r="K55" s="249">
        <f t="shared" si="1"/>
        <v>139.66666666666666</v>
      </c>
      <c r="L55" s="249"/>
      <c r="M55" s="247">
        <f>K55-K54</f>
        <v>0.18840579710143857</v>
      </c>
      <c r="N55" s="259"/>
      <c r="O55" s="259">
        <f>I55/K55</f>
        <v>1.0310262529832936</v>
      </c>
      <c r="P55" s="259"/>
      <c r="Q55" s="259">
        <f>O55-1</f>
        <v>0.031026252983293645</v>
      </c>
      <c r="R55" s="259"/>
    </row>
    <row r="56" spans="3:18" ht="12.75">
      <c r="C56" s="259">
        <f>C55+1</f>
        <v>25</v>
      </c>
      <c r="D56" s="259"/>
      <c r="E56" s="259">
        <f>C56-C55</f>
        <v>1</v>
      </c>
      <c r="F56" s="259"/>
      <c r="G56" s="259">
        <f t="shared" si="0"/>
        <v>3500</v>
      </c>
      <c r="H56" s="259"/>
      <c r="I56" s="259">
        <f>G56-G55</f>
        <v>148</v>
      </c>
      <c r="J56" s="259"/>
      <c r="K56" s="249">
        <f t="shared" si="1"/>
        <v>140</v>
      </c>
      <c r="L56" s="249"/>
      <c r="M56" s="247">
        <f>K56-K55</f>
        <v>0.3333333333333428</v>
      </c>
      <c r="N56" s="259"/>
      <c r="O56" s="259">
        <f>I56/K56</f>
        <v>1.0571428571428572</v>
      </c>
      <c r="P56" s="259"/>
      <c r="Q56" s="259">
        <f>O56-1</f>
        <v>0.05714285714285716</v>
      </c>
      <c r="R56" s="259"/>
    </row>
    <row r="57" spans="3:18" ht="12.75"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</row>
    <row r="58" spans="3:18" ht="12.75"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</row>
    <row r="59" spans="3:18" ht="12.75"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</row>
  </sheetData>
  <mergeCells count="101">
    <mergeCell ref="K59:L59"/>
    <mergeCell ref="M59:N59"/>
    <mergeCell ref="O59:P59"/>
    <mergeCell ref="Q59:R59"/>
    <mergeCell ref="C59:D59"/>
    <mergeCell ref="E59:F59"/>
    <mergeCell ref="G59:H59"/>
    <mergeCell ref="I59:J59"/>
    <mergeCell ref="K58:L58"/>
    <mergeCell ref="M58:N58"/>
    <mergeCell ref="O58:P58"/>
    <mergeCell ref="Q58:R58"/>
    <mergeCell ref="C58:D58"/>
    <mergeCell ref="E58:F58"/>
    <mergeCell ref="G58:H58"/>
    <mergeCell ref="I58:J58"/>
    <mergeCell ref="K57:L57"/>
    <mergeCell ref="M57:N57"/>
    <mergeCell ref="O57:P57"/>
    <mergeCell ref="Q57:R57"/>
    <mergeCell ref="C57:D57"/>
    <mergeCell ref="E57:F57"/>
    <mergeCell ref="G57:H57"/>
    <mergeCell ref="I57:J57"/>
    <mergeCell ref="AG4:AH4"/>
    <mergeCell ref="AJ4:AL4"/>
    <mergeCell ref="K56:L56"/>
    <mergeCell ref="M56:N56"/>
    <mergeCell ref="O56:P56"/>
    <mergeCell ref="Q56:R56"/>
    <mergeCell ref="K55:L55"/>
    <mergeCell ref="M55:N55"/>
    <mergeCell ref="O55:P55"/>
    <mergeCell ref="Q55:R55"/>
    <mergeCell ref="C56:D56"/>
    <mergeCell ref="E56:F56"/>
    <mergeCell ref="G56:H56"/>
    <mergeCell ref="I56:J56"/>
    <mergeCell ref="C55:D55"/>
    <mergeCell ref="E55:F55"/>
    <mergeCell ref="G55:H55"/>
    <mergeCell ref="I55:J55"/>
    <mergeCell ref="K54:L54"/>
    <mergeCell ref="M54:N54"/>
    <mergeCell ref="O54:P54"/>
    <mergeCell ref="Q54:R54"/>
    <mergeCell ref="C54:D54"/>
    <mergeCell ref="E54:F54"/>
    <mergeCell ref="G54:H54"/>
    <mergeCell ref="I54:J54"/>
    <mergeCell ref="K53:L53"/>
    <mergeCell ref="M53:N53"/>
    <mergeCell ref="O53:P53"/>
    <mergeCell ref="Q53:R53"/>
    <mergeCell ref="C53:D53"/>
    <mergeCell ref="E53:F53"/>
    <mergeCell ref="G53:H53"/>
    <mergeCell ref="I53:J53"/>
    <mergeCell ref="K52:L52"/>
    <mergeCell ref="M52:N52"/>
    <mergeCell ref="O52:P52"/>
    <mergeCell ref="Q52:R52"/>
    <mergeCell ref="C52:D52"/>
    <mergeCell ref="E52:F52"/>
    <mergeCell ref="G52:H52"/>
    <mergeCell ref="I52:J52"/>
    <mergeCell ref="K51:L51"/>
    <mergeCell ref="M51:N51"/>
    <mergeCell ref="O51:P51"/>
    <mergeCell ref="Q51:R51"/>
    <mergeCell ref="C51:D51"/>
    <mergeCell ref="E51:F51"/>
    <mergeCell ref="G51:H51"/>
    <mergeCell ref="I51:J51"/>
    <mergeCell ref="D41:F41"/>
    <mergeCell ref="C50:D50"/>
    <mergeCell ref="E50:F50"/>
    <mergeCell ref="G50:H50"/>
    <mergeCell ref="Q50:R50"/>
    <mergeCell ref="I36:K36"/>
    <mergeCell ref="L36:M36"/>
    <mergeCell ref="H38:I38"/>
    <mergeCell ref="I50:J50"/>
    <mergeCell ref="K50:L50"/>
    <mergeCell ref="M50:N50"/>
    <mergeCell ref="O50:P50"/>
    <mergeCell ref="D40:E40"/>
    <mergeCell ref="G40:H40"/>
    <mergeCell ref="K40:L40"/>
    <mergeCell ref="E24:G24"/>
    <mergeCell ref="L27:M27"/>
    <mergeCell ref="L35:M35"/>
    <mergeCell ref="E10:F10"/>
    <mergeCell ref="C18:D18"/>
    <mergeCell ref="E23:G23"/>
    <mergeCell ref="G20:H20"/>
    <mergeCell ref="T35:U35"/>
    <mergeCell ref="K8:L8"/>
    <mergeCell ref="N8:O8"/>
    <mergeCell ref="R8:S8"/>
    <mergeCell ref="Q35:R35"/>
  </mergeCells>
  <conditionalFormatting sqref="G51:H56">
    <cfRule type="cellIs" priority="1" dxfId="0" operator="equal" stopIfTrue="1">
      <formula>$D$41</formula>
    </cfRule>
  </conditionalFormatting>
  <conditionalFormatting sqref="C51:D51 C53:D54 C56:D56">
    <cfRule type="cellIs" priority="2" dxfId="0" operator="equal" stopIfTrue="1">
      <formula>$L$27</formula>
    </cfRule>
  </conditionalFormatting>
  <conditionalFormatting sqref="C52:D52 C55:D55">
    <cfRule type="cellIs" priority="3" dxfId="1" operator="equal" stopIfTrue="1">
      <formula>$L$27</formula>
    </cfRule>
  </conditionalFormatting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52.00390625" style="4" customWidth="1"/>
    <col min="3" max="5" width="15.75390625" style="4" customWidth="1"/>
    <col min="6" max="9" width="5.75390625" style="4" customWidth="1"/>
    <col min="10" max="16384" width="9.125" style="4" customWidth="1"/>
  </cols>
  <sheetData>
    <row r="2" ht="15">
      <c r="B2" s="95" t="s">
        <v>205</v>
      </c>
    </row>
    <row r="3" ht="23.25">
      <c r="B3" s="305" t="s">
        <v>206</v>
      </c>
    </row>
    <row r="4" ht="23.25">
      <c r="B4" s="305"/>
    </row>
    <row r="5" ht="15.75">
      <c r="B5" s="202" t="s">
        <v>156</v>
      </c>
    </row>
    <row r="6" ht="15.75">
      <c r="B6" s="202"/>
    </row>
    <row r="7" ht="18.75" customHeight="1">
      <c r="B7" s="5" t="s">
        <v>209</v>
      </c>
    </row>
    <row r="8" spans="2:9" ht="63" customHeight="1">
      <c r="B8" s="248" t="s">
        <v>210</v>
      </c>
      <c r="C8" s="248"/>
      <c r="D8" s="248"/>
      <c r="E8" s="248"/>
      <c r="F8" s="7"/>
      <c r="G8" s="7"/>
      <c r="H8" s="7"/>
      <c r="I8" s="7"/>
    </row>
    <row r="9" spans="3:9" ht="15" customHeight="1">
      <c r="C9" s="6"/>
      <c r="D9" s="6"/>
      <c r="E9" s="6"/>
      <c r="F9" s="7"/>
      <c r="G9" s="7"/>
      <c r="H9" s="7"/>
      <c r="I9" s="7"/>
    </row>
    <row r="10" spans="2:9" ht="21.75" customHeight="1">
      <c r="B10" s="8" t="s">
        <v>63</v>
      </c>
      <c r="C10" s="9">
        <v>10500</v>
      </c>
      <c r="D10" s="10" t="s">
        <v>208</v>
      </c>
      <c r="E10" s="6"/>
      <c r="F10" s="7"/>
      <c r="G10" s="7"/>
      <c r="H10" s="7"/>
      <c r="I10" s="7"/>
    </row>
    <row r="11" ht="15" customHeight="1" thickBot="1"/>
    <row r="12" spans="2:5" ht="20.25" customHeight="1" thickBot="1">
      <c r="B12" s="11" t="s">
        <v>64</v>
      </c>
      <c r="C12" s="12" t="s">
        <v>65</v>
      </c>
      <c r="D12" s="13" t="s">
        <v>66</v>
      </c>
      <c r="E12" s="14" t="s">
        <v>67</v>
      </c>
    </row>
    <row r="13" spans="2:5" ht="24.75" customHeight="1">
      <c r="B13" s="15" t="s">
        <v>82</v>
      </c>
      <c r="C13" s="16">
        <v>15</v>
      </c>
      <c r="D13" s="17">
        <v>30</v>
      </c>
      <c r="E13" s="18">
        <v>60</v>
      </c>
    </row>
    <row r="14" spans="2:5" ht="24.75" customHeight="1">
      <c r="B14" s="19" t="s">
        <v>68</v>
      </c>
      <c r="C14" s="20">
        <v>12</v>
      </c>
      <c r="D14" s="21">
        <v>15</v>
      </c>
      <c r="E14" s="22">
        <v>20</v>
      </c>
    </row>
    <row r="15" spans="2:5" ht="24.75" customHeight="1">
      <c r="B15" s="19" t="s">
        <v>83</v>
      </c>
      <c r="C15" s="20">
        <v>1</v>
      </c>
      <c r="D15" s="21">
        <v>2</v>
      </c>
      <c r="E15" s="22">
        <v>3</v>
      </c>
    </row>
    <row r="16" spans="2:5" ht="24.75" customHeight="1">
      <c r="B16" s="19" t="s">
        <v>69</v>
      </c>
      <c r="C16" s="20">
        <v>4</v>
      </c>
      <c r="D16" s="21">
        <v>7</v>
      </c>
      <c r="E16" s="22">
        <v>14</v>
      </c>
    </row>
    <row r="17" spans="2:5" ht="24.75" customHeight="1" thickBot="1">
      <c r="B17" s="23" t="s">
        <v>70</v>
      </c>
      <c r="C17" s="24">
        <v>400</v>
      </c>
      <c r="D17" s="25">
        <v>250</v>
      </c>
      <c r="E17" s="26">
        <v>150</v>
      </c>
    </row>
    <row r="18" spans="2:9" ht="15" customHeight="1">
      <c r="B18" s="27"/>
      <c r="C18" s="28"/>
      <c r="D18" s="28"/>
      <c r="E18" s="28"/>
      <c r="F18" s="29"/>
      <c r="G18" s="29"/>
      <c r="H18" s="29"/>
      <c r="I18" s="29"/>
    </row>
    <row r="19" spans="2:5" ht="15" customHeight="1">
      <c r="B19" s="30"/>
      <c r="C19" s="31"/>
      <c r="D19" s="31"/>
      <c r="E19" s="31"/>
    </row>
    <row r="20" spans="2:5" ht="15" customHeight="1">
      <c r="B20" s="30" t="s">
        <v>71</v>
      </c>
      <c r="C20" s="31"/>
      <c r="D20" s="31"/>
      <c r="E20" s="31"/>
    </row>
    <row r="21" spans="2:5" ht="15" customHeight="1">
      <c r="B21" s="32" t="s">
        <v>72</v>
      </c>
      <c r="C21" s="33">
        <f>MIN(C13:E13)</f>
        <v>15</v>
      </c>
      <c r="D21" s="34" t="s">
        <v>73</v>
      </c>
      <c r="E21" s="31"/>
    </row>
    <row r="22" spans="2:5" ht="15" customHeight="1">
      <c r="B22" s="32" t="s">
        <v>74</v>
      </c>
      <c r="C22" s="33">
        <f>C17+D17+E17</f>
        <v>800</v>
      </c>
      <c r="D22" s="34" t="s">
        <v>75</v>
      </c>
      <c r="E22" s="31"/>
    </row>
    <row r="23" spans="2:5" ht="15" customHeight="1">
      <c r="B23" s="30"/>
      <c r="C23" s="31"/>
      <c r="D23" s="31"/>
      <c r="E23" s="31"/>
    </row>
    <row r="24" spans="2:5" ht="4.5" customHeight="1" thickBot="1">
      <c r="B24" s="35"/>
      <c r="C24" s="35"/>
      <c r="D24" s="35"/>
      <c r="E24" s="35"/>
    </row>
    <row r="25" spans="2:5" ht="24.75" customHeight="1" thickBot="1">
      <c r="B25" s="36" t="s">
        <v>76</v>
      </c>
      <c r="C25" s="37" t="s">
        <v>65</v>
      </c>
      <c r="D25" s="38" t="s">
        <v>66</v>
      </c>
      <c r="E25" s="39" t="s">
        <v>67</v>
      </c>
    </row>
    <row r="26" spans="2:5" ht="24.75" customHeight="1">
      <c r="B26" s="40" t="s">
        <v>77</v>
      </c>
      <c r="C26" s="41">
        <f>C10/C22</f>
        <v>13.125</v>
      </c>
      <c r="D26" s="42">
        <f>C10/C22</f>
        <v>13.125</v>
      </c>
      <c r="E26" s="43">
        <f>C10/C22</f>
        <v>13.125</v>
      </c>
    </row>
    <row r="27" spans="2:5" ht="24.75" customHeight="1" thickBot="1">
      <c r="B27" s="44" t="s">
        <v>78</v>
      </c>
      <c r="C27" s="45">
        <f>SUM(C14:C16)</f>
        <v>17</v>
      </c>
      <c r="D27" s="46">
        <f>D14+D15+D16</f>
        <v>24</v>
      </c>
      <c r="E27" s="47">
        <f>E14+E15+E16</f>
        <v>37</v>
      </c>
    </row>
    <row r="28" spans="2:5" ht="24.75" customHeight="1" thickBot="1">
      <c r="B28" s="48" t="s">
        <v>79</v>
      </c>
      <c r="C28" s="49">
        <f>C26+C27</f>
        <v>30.125</v>
      </c>
      <c r="D28" s="50">
        <f>D26+D27</f>
        <v>37.125</v>
      </c>
      <c r="E28" s="51">
        <f>E26+E27</f>
        <v>50.125</v>
      </c>
    </row>
    <row r="29" ht="24" customHeight="1"/>
    <row r="30" ht="12.75">
      <c r="B30" s="52" t="s">
        <v>80</v>
      </c>
    </row>
    <row r="31" spans="2:4" ht="15">
      <c r="B31" s="53" t="s">
        <v>81</v>
      </c>
      <c r="C31" s="54">
        <f>C26*C17+D26*D17+E26*E17</f>
        <v>10500</v>
      </c>
      <c r="D31" s="55" t="s">
        <v>47</v>
      </c>
    </row>
    <row r="32" ht="14.25">
      <c r="B32" s="56"/>
    </row>
  </sheetData>
  <mergeCells count="1">
    <mergeCell ref="B8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ignoredErrors>
    <ignoredError sqref="C27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52.00390625" style="4" customWidth="1"/>
    <col min="3" max="5" width="15.75390625" style="4" customWidth="1"/>
    <col min="6" max="9" width="5.75390625" style="4" customWidth="1"/>
    <col min="10" max="13" width="0" style="4" hidden="1" customWidth="1"/>
    <col min="14" max="16384" width="9.125" style="4" customWidth="1"/>
  </cols>
  <sheetData>
    <row r="2" ht="15" customHeight="1">
      <c r="B2" s="95" t="s">
        <v>205</v>
      </c>
    </row>
    <row r="3" ht="23.25">
      <c r="B3" s="305" t="s">
        <v>207</v>
      </c>
    </row>
    <row r="4" ht="18">
      <c r="B4" s="3"/>
    </row>
    <row r="5" ht="15.75">
      <c r="B5" s="202" t="s">
        <v>181</v>
      </c>
    </row>
    <row r="6" ht="15.75">
      <c r="B6" s="202"/>
    </row>
    <row r="7" ht="18.75" customHeight="1">
      <c r="B7" s="5" t="s">
        <v>212</v>
      </c>
    </row>
    <row r="8" spans="2:9" ht="62.25" customHeight="1">
      <c r="B8" s="248" t="s">
        <v>211</v>
      </c>
      <c r="C8" s="248"/>
      <c r="D8" s="248"/>
      <c r="E8" s="248"/>
      <c r="F8" s="7"/>
      <c r="G8" s="7"/>
      <c r="H8" s="7"/>
      <c r="I8" s="7"/>
    </row>
    <row r="9" spans="3:9" ht="15" customHeight="1">
      <c r="C9" s="6"/>
      <c r="D9" s="6"/>
      <c r="E9" s="6"/>
      <c r="F9" s="7"/>
      <c r="G9" s="7"/>
      <c r="H9" s="7"/>
      <c r="I9" s="7"/>
    </row>
    <row r="10" spans="2:9" ht="21.75" customHeight="1">
      <c r="B10" s="8" t="s">
        <v>63</v>
      </c>
      <c r="C10" s="9">
        <v>10500</v>
      </c>
      <c r="D10" s="10" t="s">
        <v>47</v>
      </c>
      <c r="E10" s="6"/>
      <c r="F10" s="7"/>
      <c r="G10" s="7"/>
      <c r="H10" s="7"/>
      <c r="I10" s="7"/>
    </row>
    <row r="11" ht="15" customHeight="1" thickBot="1"/>
    <row r="12" spans="2:5" ht="20.25" customHeight="1" thickBot="1">
      <c r="B12" s="11" t="s">
        <v>64</v>
      </c>
      <c r="C12" s="12" t="s">
        <v>65</v>
      </c>
      <c r="D12" s="13" t="s">
        <v>66</v>
      </c>
      <c r="E12" s="14" t="s">
        <v>67</v>
      </c>
    </row>
    <row r="13" spans="2:5" ht="24.75" customHeight="1">
      <c r="B13" s="15" t="s">
        <v>82</v>
      </c>
      <c r="C13" s="16">
        <v>15</v>
      </c>
      <c r="D13" s="17">
        <v>30</v>
      </c>
      <c r="E13" s="18">
        <v>60</v>
      </c>
    </row>
    <row r="14" spans="2:5" ht="24.75" customHeight="1">
      <c r="B14" s="19" t="s">
        <v>68</v>
      </c>
      <c r="C14" s="20">
        <v>12</v>
      </c>
      <c r="D14" s="21">
        <v>15</v>
      </c>
      <c r="E14" s="22">
        <v>20</v>
      </c>
    </row>
    <row r="15" spans="2:13" ht="24.75" customHeight="1">
      <c r="B15" s="19" t="s">
        <v>83</v>
      </c>
      <c r="C15" s="20">
        <f>K15/J15</f>
        <v>0.1</v>
      </c>
      <c r="D15" s="21">
        <f>L15/J15</f>
        <v>0.2</v>
      </c>
      <c r="E15" s="22">
        <f>M15/J15</f>
        <v>0.3</v>
      </c>
      <c r="J15" s="4">
        <v>10</v>
      </c>
      <c r="K15" s="4">
        <v>1</v>
      </c>
      <c r="L15" s="4">
        <v>2</v>
      </c>
      <c r="M15" s="4">
        <v>3</v>
      </c>
    </row>
    <row r="16" spans="2:5" ht="24.75" customHeight="1">
      <c r="B16" s="19" t="s">
        <v>69</v>
      </c>
      <c r="C16" s="20">
        <v>4</v>
      </c>
      <c r="D16" s="21">
        <v>7</v>
      </c>
      <c r="E16" s="22">
        <v>14</v>
      </c>
    </row>
    <row r="17" spans="2:5" ht="24.75" customHeight="1" thickBot="1">
      <c r="B17" s="23" t="s">
        <v>70</v>
      </c>
      <c r="C17" s="24">
        <v>400</v>
      </c>
      <c r="D17" s="25">
        <v>250</v>
      </c>
      <c r="E17" s="26">
        <v>150</v>
      </c>
    </row>
    <row r="18" spans="2:9" ht="15" customHeight="1">
      <c r="B18" s="27"/>
      <c r="C18" s="28"/>
      <c r="D18" s="28"/>
      <c r="E18" s="28"/>
      <c r="F18" s="29"/>
      <c r="G18" s="29"/>
      <c r="H18" s="29"/>
      <c r="I18" s="29"/>
    </row>
    <row r="19" spans="2:5" ht="15" customHeight="1">
      <c r="B19" s="30"/>
      <c r="C19" s="31"/>
      <c r="D19" s="31"/>
      <c r="E19" s="31"/>
    </row>
    <row r="20" spans="2:5" ht="15" customHeight="1">
      <c r="B20" s="30" t="s">
        <v>71</v>
      </c>
      <c r="C20" s="31"/>
      <c r="D20" s="31"/>
      <c r="E20" s="31"/>
    </row>
    <row r="21" spans="2:5" ht="15" customHeight="1">
      <c r="B21" s="32" t="s">
        <v>72</v>
      </c>
      <c r="C21" s="33">
        <f>MIN(C13:E13)</f>
        <v>15</v>
      </c>
      <c r="D21" s="34" t="s">
        <v>73</v>
      </c>
      <c r="E21" s="31"/>
    </row>
    <row r="22" spans="2:5" ht="15" customHeight="1">
      <c r="B22" s="32" t="s">
        <v>84</v>
      </c>
      <c r="C22" s="33">
        <f>C27+D27+E27</f>
        <v>1500</v>
      </c>
      <c r="D22" s="34" t="s">
        <v>75</v>
      </c>
      <c r="E22" s="31"/>
    </row>
    <row r="23" spans="2:5" ht="15" customHeight="1">
      <c r="B23" s="30"/>
      <c r="C23" s="31"/>
      <c r="D23" s="31"/>
      <c r="E23" s="31"/>
    </row>
    <row r="24" spans="2:5" ht="4.5" customHeight="1" thickBot="1">
      <c r="B24" s="35"/>
      <c r="C24" s="35"/>
      <c r="D24" s="35"/>
      <c r="E24" s="35"/>
    </row>
    <row r="25" spans="2:5" ht="24.75" customHeight="1" thickBot="1">
      <c r="B25" s="36" t="s">
        <v>76</v>
      </c>
      <c r="C25" s="37" t="s">
        <v>65</v>
      </c>
      <c r="D25" s="38" t="s">
        <v>66</v>
      </c>
      <c r="E25" s="39" t="s">
        <v>67</v>
      </c>
    </row>
    <row r="26" spans="2:5" ht="24.75" customHeight="1">
      <c r="B26" s="57" t="s">
        <v>85</v>
      </c>
      <c r="C26" s="58">
        <f>C13/C21</f>
        <v>1</v>
      </c>
      <c r="D26" s="59">
        <f>D13/C21</f>
        <v>2</v>
      </c>
      <c r="E26" s="60">
        <f>E13/C21</f>
        <v>4</v>
      </c>
    </row>
    <row r="27" spans="2:5" ht="24.75" customHeight="1">
      <c r="B27" s="40" t="s">
        <v>86</v>
      </c>
      <c r="C27" s="41">
        <f>C17*C26</f>
        <v>400</v>
      </c>
      <c r="D27" s="42">
        <f>D26*D17</f>
        <v>500</v>
      </c>
      <c r="E27" s="43">
        <f>E26*E17</f>
        <v>600</v>
      </c>
    </row>
    <row r="28" spans="2:5" ht="24.75" customHeight="1">
      <c r="B28" s="40" t="s">
        <v>77</v>
      </c>
      <c r="C28" s="41">
        <f>(C10/C22)*C26</f>
        <v>7</v>
      </c>
      <c r="D28" s="42">
        <f>(C10/C22)*D26</f>
        <v>14</v>
      </c>
      <c r="E28" s="43">
        <f>(C10/C22)*E26</f>
        <v>28</v>
      </c>
    </row>
    <row r="29" spans="2:5" ht="24.75" customHeight="1" thickBot="1">
      <c r="B29" s="44" t="s">
        <v>78</v>
      </c>
      <c r="C29" s="45">
        <f>SUM(C14:C16)</f>
        <v>16.1</v>
      </c>
      <c r="D29" s="46">
        <f>D14+D15+D16</f>
        <v>22.2</v>
      </c>
      <c r="E29" s="47">
        <f>E14+E15+E16</f>
        <v>34.3</v>
      </c>
    </row>
    <row r="30" spans="2:5" ht="24.75" customHeight="1" thickBot="1">
      <c r="B30" s="48" t="s">
        <v>79</v>
      </c>
      <c r="C30" s="49">
        <f>C28+C29</f>
        <v>23.1</v>
      </c>
      <c r="D30" s="50">
        <f>D28+D29</f>
        <v>36.2</v>
      </c>
      <c r="E30" s="51">
        <f>E28+E29</f>
        <v>62.3</v>
      </c>
    </row>
    <row r="31" ht="24" customHeight="1"/>
    <row r="32" ht="12.75">
      <c r="B32" s="52" t="s">
        <v>80</v>
      </c>
    </row>
    <row r="33" spans="2:4" ht="15">
      <c r="B33" s="53" t="s">
        <v>81</v>
      </c>
      <c r="C33" s="54">
        <f>C28*C17+D28*D17+E28*E17</f>
        <v>10500</v>
      </c>
      <c r="D33" s="55" t="s">
        <v>47</v>
      </c>
    </row>
    <row r="34" ht="14.25">
      <c r="B34" s="56"/>
    </row>
  </sheetData>
  <mergeCells count="1">
    <mergeCell ref="B8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ignoredErrors>
    <ignoredError sqref="C29" formulaRange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52.00390625" style="4" customWidth="1"/>
    <col min="3" max="6" width="15.75390625" style="4" customWidth="1"/>
    <col min="7" max="7" width="5.75390625" style="4" customWidth="1"/>
    <col min="8" max="9" width="1.625" style="4" customWidth="1"/>
    <col min="10" max="14" width="0" style="4" hidden="1" customWidth="1"/>
    <col min="15" max="16384" width="9.125" style="4" customWidth="1"/>
  </cols>
  <sheetData>
    <row r="2" ht="15">
      <c r="B2" s="95" t="s">
        <v>205</v>
      </c>
    </row>
    <row r="3" ht="23.25">
      <c r="B3" s="305" t="s">
        <v>207</v>
      </c>
    </row>
    <row r="4" ht="18">
      <c r="B4" s="3"/>
    </row>
    <row r="5" ht="15.75">
      <c r="B5" s="202" t="s">
        <v>215</v>
      </c>
    </row>
    <row r="6" ht="15.75">
      <c r="B6" s="202"/>
    </row>
    <row r="7" ht="19.5" customHeight="1">
      <c r="B7" s="5" t="s">
        <v>213</v>
      </c>
    </row>
    <row r="8" spans="2:9" ht="45" customHeight="1">
      <c r="B8" s="248" t="s">
        <v>214</v>
      </c>
      <c r="C8" s="248"/>
      <c r="D8" s="248"/>
      <c r="E8" s="248"/>
      <c r="F8" s="248"/>
      <c r="G8" s="7"/>
      <c r="H8" s="7"/>
      <c r="I8" s="7"/>
    </row>
    <row r="9" spans="2:9" ht="30.75" customHeight="1">
      <c r="B9" s="8" t="s">
        <v>63</v>
      </c>
      <c r="C9" s="8">
        <v>178.08</v>
      </c>
      <c r="D9" s="61" t="s">
        <v>87</v>
      </c>
      <c r="E9" s="62">
        <f>C9*1000</f>
        <v>178080</v>
      </c>
      <c r="F9" s="63" t="s">
        <v>47</v>
      </c>
      <c r="G9" s="6"/>
      <c r="H9" s="6"/>
      <c r="I9" s="6"/>
    </row>
    <row r="10" spans="2:7" ht="13.5" thickBot="1">
      <c r="B10" s="35"/>
      <c r="C10" s="35"/>
      <c r="D10" s="35"/>
      <c r="E10" s="35"/>
      <c r="F10" s="35"/>
      <c r="G10" s="35"/>
    </row>
    <row r="11" spans="2:6" ht="19.5" customHeight="1">
      <c r="B11" s="245" t="s">
        <v>88</v>
      </c>
      <c r="C11" s="280" t="s">
        <v>89</v>
      </c>
      <c r="D11" s="280"/>
      <c r="E11" s="280"/>
      <c r="F11" s="281"/>
    </row>
    <row r="12" spans="2:6" ht="19.5" customHeight="1" thickBot="1">
      <c r="B12" s="246"/>
      <c r="C12" s="64" t="s">
        <v>65</v>
      </c>
      <c r="D12" s="65" t="s">
        <v>66</v>
      </c>
      <c r="E12" s="65" t="s">
        <v>67</v>
      </c>
      <c r="F12" s="66" t="s">
        <v>90</v>
      </c>
    </row>
    <row r="13" spans="2:6" ht="24.75" customHeight="1">
      <c r="B13" s="67" t="s">
        <v>91</v>
      </c>
      <c r="C13" s="68">
        <v>10</v>
      </c>
      <c r="D13" s="69">
        <v>8</v>
      </c>
      <c r="E13" s="69">
        <v>6</v>
      </c>
      <c r="F13" s="70">
        <v>8</v>
      </c>
    </row>
    <row r="14" spans="2:14" ht="24.75" customHeight="1">
      <c r="B14" s="71" t="s">
        <v>92</v>
      </c>
      <c r="C14" s="72">
        <f>K14/J14</f>
        <v>0.2</v>
      </c>
      <c r="D14" s="73">
        <f>L14/J14</f>
        <v>0.4</v>
      </c>
      <c r="E14" s="73">
        <f>M14/J14</f>
        <v>0.2</v>
      </c>
      <c r="F14" s="74">
        <f>N14/J14</f>
        <v>0.1</v>
      </c>
      <c r="J14" s="4">
        <v>10</v>
      </c>
      <c r="K14" s="4">
        <v>2</v>
      </c>
      <c r="L14" s="4">
        <v>4</v>
      </c>
      <c r="M14" s="4">
        <v>2</v>
      </c>
      <c r="N14" s="4">
        <v>1</v>
      </c>
    </row>
    <row r="15" spans="2:6" ht="24.75" customHeight="1">
      <c r="B15" s="71" t="s">
        <v>93</v>
      </c>
      <c r="C15" s="72">
        <v>16</v>
      </c>
      <c r="D15" s="73">
        <v>12</v>
      </c>
      <c r="E15" s="73">
        <v>9</v>
      </c>
      <c r="F15" s="74">
        <v>8</v>
      </c>
    </row>
    <row r="16" spans="2:6" ht="24.75" customHeight="1" thickBot="1">
      <c r="B16" s="75" t="s">
        <v>94</v>
      </c>
      <c r="C16" s="76">
        <v>2000</v>
      </c>
      <c r="D16" s="77">
        <v>1500</v>
      </c>
      <c r="E16" s="77">
        <v>1800</v>
      </c>
      <c r="F16" s="78">
        <v>1000</v>
      </c>
    </row>
    <row r="17" spans="2:9" ht="19.5" customHeight="1">
      <c r="B17" s="79"/>
      <c r="C17" s="80"/>
      <c r="D17" s="80"/>
      <c r="E17" s="80"/>
      <c r="F17" s="80"/>
      <c r="G17" s="79"/>
      <c r="H17" s="79"/>
      <c r="I17" s="79"/>
    </row>
    <row r="18" spans="2:9" ht="19.5" customHeight="1">
      <c r="B18" s="81"/>
      <c r="C18" s="81"/>
      <c r="D18" s="81"/>
      <c r="E18" s="81"/>
      <c r="F18" s="81"/>
      <c r="G18" s="81"/>
      <c r="H18" s="81"/>
      <c r="I18" s="81"/>
    </row>
    <row r="19" spans="2:9" ht="19.5" customHeight="1">
      <c r="B19" s="30" t="s">
        <v>71</v>
      </c>
      <c r="C19" s="81"/>
      <c r="D19" s="81"/>
      <c r="E19" s="81"/>
      <c r="F19" s="81"/>
      <c r="G19" s="81"/>
      <c r="H19" s="81"/>
      <c r="I19" s="81"/>
    </row>
    <row r="20" spans="2:9" ht="19.5" customHeight="1">
      <c r="B20" s="82" t="s">
        <v>98</v>
      </c>
      <c r="C20" s="83">
        <f>E9/(C15*C16+D15*D16+E15*E16+F15*F16)</f>
        <v>2.4</v>
      </c>
      <c r="D20" s="84"/>
      <c r="E20" s="84"/>
      <c r="F20" s="84"/>
      <c r="G20" s="81"/>
      <c r="H20" s="81"/>
      <c r="I20" s="81"/>
    </row>
    <row r="21" ht="13.5" customHeight="1" thickBot="1"/>
    <row r="22" spans="2:6" ht="19.5" customHeight="1">
      <c r="B22" s="245" t="s">
        <v>88</v>
      </c>
      <c r="C22" s="280" t="s">
        <v>89</v>
      </c>
      <c r="D22" s="280"/>
      <c r="E22" s="280"/>
      <c r="F22" s="281"/>
    </row>
    <row r="23" spans="2:6" ht="19.5" customHeight="1" thickBot="1">
      <c r="B23" s="246"/>
      <c r="C23" s="64" t="s">
        <v>65</v>
      </c>
      <c r="D23" s="65" t="s">
        <v>66</v>
      </c>
      <c r="E23" s="65" t="s">
        <v>67</v>
      </c>
      <c r="F23" s="66" t="s">
        <v>90</v>
      </c>
    </row>
    <row r="24" spans="2:6" ht="19.5" customHeight="1">
      <c r="B24" s="85" t="s">
        <v>95</v>
      </c>
      <c r="C24" s="86">
        <f>C13+C14+C15</f>
        <v>26.2</v>
      </c>
      <c r="D24" s="87">
        <f>D13+D14+D15</f>
        <v>20.4</v>
      </c>
      <c r="E24" s="87">
        <f>E13+E14+E15</f>
        <v>15.2</v>
      </c>
      <c r="F24" s="88">
        <f>F13+F14+F15</f>
        <v>16.1</v>
      </c>
    </row>
    <row r="25" spans="2:6" ht="19.5" customHeight="1" thickBot="1">
      <c r="B25" s="89" t="s">
        <v>96</v>
      </c>
      <c r="C25" s="86">
        <f>C15*C20</f>
        <v>38.4</v>
      </c>
      <c r="D25" s="87">
        <f>D15*C20</f>
        <v>28.799999999999997</v>
      </c>
      <c r="E25" s="87">
        <f>E15*C20</f>
        <v>21.599999999999998</v>
      </c>
      <c r="F25" s="88">
        <f>F15*C20</f>
        <v>19.2</v>
      </c>
    </row>
    <row r="26" spans="2:6" ht="19.5" customHeight="1" thickBot="1">
      <c r="B26" s="90" t="s">
        <v>97</v>
      </c>
      <c r="C26" s="91">
        <f>C24+C25</f>
        <v>64.6</v>
      </c>
      <c r="D26" s="92">
        <f>D24+D25</f>
        <v>49.199999999999996</v>
      </c>
      <c r="E26" s="92">
        <f>E24+E25</f>
        <v>36.8</v>
      </c>
      <c r="F26" s="93">
        <f>F24+F25</f>
        <v>35.3</v>
      </c>
    </row>
    <row r="29" ht="12.75">
      <c r="B29" s="52" t="s">
        <v>80</v>
      </c>
    </row>
    <row r="30" spans="2:4" ht="15">
      <c r="B30" s="53" t="s">
        <v>81</v>
      </c>
      <c r="C30" s="94">
        <f>C25*C16+D25*D16+E25*E16+F25*F16</f>
        <v>178080</v>
      </c>
      <c r="D30" s="95" t="s">
        <v>47</v>
      </c>
    </row>
  </sheetData>
  <mergeCells count="5">
    <mergeCell ref="B8:F8"/>
    <mergeCell ref="B22:B23"/>
    <mergeCell ref="C22:F22"/>
    <mergeCell ref="C11:F11"/>
    <mergeCell ref="B11:B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52.00390625" style="4" customWidth="1"/>
    <col min="3" max="5" width="15.75390625" style="4" customWidth="1"/>
    <col min="6" max="6" width="1.12109375" style="4" customWidth="1"/>
    <col min="7" max="8" width="5.75390625" style="4" customWidth="1"/>
    <col min="9" max="9" width="4.00390625" style="4" customWidth="1"/>
    <col min="10" max="16384" width="9.125" style="4" customWidth="1"/>
  </cols>
  <sheetData>
    <row r="2" ht="15">
      <c r="B2" s="95" t="s">
        <v>205</v>
      </c>
    </row>
    <row r="3" ht="23.25">
      <c r="B3" s="305" t="s">
        <v>207</v>
      </c>
    </row>
    <row r="4" ht="18">
      <c r="B4" s="3"/>
    </row>
    <row r="5" ht="15.75">
      <c r="B5" s="202" t="s">
        <v>217</v>
      </c>
    </row>
    <row r="6" ht="10.5" customHeight="1">
      <c r="B6" s="3"/>
    </row>
    <row r="7" ht="18.75" customHeight="1">
      <c r="B7" s="5" t="s">
        <v>216</v>
      </c>
    </row>
    <row r="8" spans="2:9" ht="93" customHeight="1">
      <c r="B8" s="248" t="s">
        <v>99</v>
      </c>
      <c r="C8" s="248"/>
      <c r="D8" s="248"/>
      <c r="E8" s="248"/>
      <c r="F8" s="248"/>
      <c r="G8" s="248"/>
      <c r="H8" s="248"/>
      <c r="I8" s="248"/>
    </row>
    <row r="9" spans="2:9" ht="6" customHeight="1">
      <c r="B9" s="81"/>
      <c r="C9" s="81"/>
      <c r="D9" s="81"/>
      <c r="E9" s="81"/>
      <c r="F9" s="81"/>
      <c r="G9" s="81"/>
      <c r="H9" s="81"/>
      <c r="I9" s="81"/>
    </row>
    <row r="10" ht="6" customHeight="1" thickBot="1">
      <c r="B10" s="96"/>
    </row>
    <row r="11" spans="2:4" s="100" customFormat="1" ht="24.75" customHeight="1" thickBot="1">
      <c r="B11" s="97" t="s">
        <v>100</v>
      </c>
      <c r="C11" s="98" t="s">
        <v>101</v>
      </c>
      <c r="D11" s="99" t="s">
        <v>102</v>
      </c>
    </row>
    <row r="12" spans="2:4" s="100" customFormat="1" ht="24.75" customHeight="1">
      <c r="B12" s="101" t="s">
        <v>103</v>
      </c>
      <c r="C12" s="102">
        <v>1000</v>
      </c>
      <c r="D12" s="102">
        <f>C12</f>
        <v>1000</v>
      </c>
    </row>
    <row r="13" spans="2:4" s="100" customFormat="1" ht="24.75" customHeight="1">
      <c r="B13" s="103" t="s">
        <v>104</v>
      </c>
      <c r="C13" s="104">
        <f>0</f>
        <v>0</v>
      </c>
      <c r="D13" s="104">
        <v>15000</v>
      </c>
    </row>
    <row r="14" spans="2:4" s="100" customFormat="1" ht="24.75" customHeight="1">
      <c r="B14" s="103" t="s">
        <v>105</v>
      </c>
      <c r="C14" s="104">
        <v>2000</v>
      </c>
      <c r="D14" s="104">
        <v>12000</v>
      </c>
    </row>
    <row r="15" spans="2:4" s="100" customFormat="1" ht="24.75" customHeight="1">
      <c r="B15" s="103" t="s">
        <v>106</v>
      </c>
      <c r="C15" s="104">
        <v>0</v>
      </c>
      <c r="D15" s="104">
        <v>2000</v>
      </c>
    </row>
    <row r="16" spans="2:4" s="100" customFormat="1" ht="24.75" customHeight="1">
      <c r="B16" s="103" t="s">
        <v>107</v>
      </c>
      <c r="C16" s="104">
        <v>0</v>
      </c>
      <c r="D16" s="104">
        <v>20000</v>
      </c>
    </row>
    <row r="17" spans="2:10" s="100" customFormat="1" ht="24.75" customHeight="1">
      <c r="B17" s="103" t="s">
        <v>108</v>
      </c>
      <c r="C17" s="104">
        <v>30000</v>
      </c>
      <c r="D17" s="104">
        <f>C17</f>
        <v>30000</v>
      </c>
      <c r="G17" s="105"/>
      <c r="H17" s="105"/>
      <c r="I17" s="105"/>
      <c r="J17" s="105"/>
    </row>
    <row r="18" spans="2:10" ht="15">
      <c r="B18" s="106"/>
      <c r="C18" s="106"/>
      <c r="D18" s="106"/>
      <c r="E18" s="79"/>
      <c r="F18" s="79"/>
      <c r="G18" s="81"/>
      <c r="H18" s="81"/>
      <c r="I18" s="81"/>
      <c r="J18" s="81"/>
    </row>
    <row r="20" ht="12.75">
      <c r="B20" s="30" t="s">
        <v>71</v>
      </c>
    </row>
    <row r="21" ht="13.5" thickBot="1"/>
    <row r="22" spans="2:5" ht="24.75" customHeight="1" thickBot="1">
      <c r="B22" s="97" t="s">
        <v>100</v>
      </c>
      <c r="C22" s="98" t="s">
        <v>101</v>
      </c>
      <c r="D22" s="99" t="s">
        <v>102</v>
      </c>
      <c r="E22" s="99" t="s">
        <v>109</v>
      </c>
    </row>
    <row r="23" spans="2:5" ht="24.75" customHeight="1">
      <c r="B23" s="101" t="s">
        <v>103</v>
      </c>
      <c r="C23" s="102">
        <f>D12</f>
        <v>1000</v>
      </c>
      <c r="D23" s="102">
        <f>D12</f>
        <v>1000</v>
      </c>
      <c r="E23" s="102">
        <f aca="true" t="shared" si="0" ref="E23:E28">D23-C23</f>
        <v>0</v>
      </c>
    </row>
    <row r="24" spans="2:5" ht="24.75" customHeight="1">
      <c r="B24" s="103" t="s">
        <v>110</v>
      </c>
      <c r="C24" s="104">
        <f>0</f>
        <v>0</v>
      </c>
      <c r="D24" s="104">
        <f>D13/D12</f>
        <v>15</v>
      </c>
      <c r="E24" s="104">
        <f t="shared" si="0"/>
        <v>15</v>
      </c>
    </row>
    <row r="25" spans="2:5" ht="24.75" customHeight="1">
      <c r="B25" s="103" t="s">
        <v>111</v>
      </c>
      <c r="C25" s="104">
        <f>C14/C12</f>
        <v>2</v>
      </c>
      <c r="D25" s="104">
        <f>D14/D23</f>
        <v>12</v>
      </c>
      <c r="E25" s="104">
        <f t="shared" si="0"/>
        <v>10</v>
      </c>
    </row>
    <row r="26" spans="2:5" ht="24.75" customHeight="1">
      <c r="B26" s="103" t="s">
        <v>106</v>
      </c>
      <c r="C26" s="104">
        <f>C15</f>
        <v>0</v>
      </c>
      <c r="D26" s="104">
        <f>D15/D23</f>
        <v>2</v>
      </c>
      <c r="E26" s="104">
        <f t="shared" si="0"/>
        <v>2</v>
      </c>
    </row>
    <row r="27" spans="2:5" ht="24.75" customHeight="1">
      <c r="B27" s="103" t="s">
        <v>112</v>
      </c>
      <c r="C27" s="104">
        <f>C16</f>
        <v>0</v>
      </c>
      <c r="D27" s="104">
        <f>D16/D23</f>
        <v>20</v>
      </c>
      <c r="E27" s="104">
        <f t="shared" si="0"/>
        <v>20</v>
      </c>
    </row>
    <row r="28" spans="2:5" ht="24.75" customHeight="1">
      <c r="B28" s="103" t="s">
        <v>108</v>
      </c>
      <c r="C28" s="104">
        <f>C17</f>
        <v>30000</v>
      </c>
      <c r="D28" s="104">
        <f>D17</f>
        <v>30000</v>
      </c>
      <c r="E28" s="104">
        <f t="shared" si="0"/>
        <v>0</v>
      </c>
    </row>
    <row r="31" ht="12.75">
      <c r="B31" s="52" t="s">
        <v>113</v>
      </c>
    </row>
    <row r="32" spans="2:4" ht="12.75">
      <c r="B32" s="107" t="s">
        <v>114</v>
      </c>
      <c r="C32" s="108"/>
      <c r="D32" s="108" t="s">
        <v>115</v>
      </c>
    </row>
    <row r="33" spans="2:4" ht="18">
      <c r="B33" s="109">
        <f>E24+E25+E26+E27</f>
        <v>47</v>
      </c>
      <c r="C33" s="110" t="str">
        <f>IF(D33&gt;B33,"&lt;","&gt;")</f>
        <v>&lt;</v>
      </c>
      <c r="D33" s="109">
        <v>50</v>
      </c>
    </row>
    <row r="35" spans="2:4" ht="15.75">
      <c r="B35" s="95"/>
      <c r="C35" s="244" t="s">
        <v>116</v>
      </c>
      <c r="D35" s="111" t="str">
        <f>IF(D33&gt;B33,"výhodné.","nevýhodné.")</f>
        <v>výhodné.</v>
      </c>
    </row>
    <row r="36" ht="15">
      <c r="B36" s="55"/>
    </row>
  </sheetData>
  <mergeCells count="1">
    <mergeCell ref="B8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3" max="3" width="7.25390625" style="0" customWidth="1"/>
    <col min="7" max="7" width="9.625" style="0" customWidth="1"/>
    <col min="8" max="8" width="14.00390625" style="0" customWidth="1"/>
    <col min="9" max="10" width="10.625" style="0" bestFit="1" customWidth="1"/>
    <col min="12" max="12" width="2.25390625" style="0" customWidth="1"/>
    <col min="13" max="14" width="0" style="0" hidden="1" customWidth="1"/>
    <col min="15" max="15" width="3.375" style="0" customWidth="1"/>
  </cols>
  <sheetData>
    <row r="2" ht="15">
      <c r="B2" s="95" t="s">
        <v>205</v>
      </c>
    </row>
    <row r="3" ht="23.25">
      <c r="B3" s="305" t="s">
        <v>207</v>
      </c>
    </row>
    <row r="4" ht="18">
      <c r="B4" s="3"/>
    </row>
    <row r="5" ht="15.75">
      <c r="B5" s="202" t="s">
        <v>218</v>
      </c>
    </row>
    <row r="7" spans="1:12" ht="13.5" customHeight="1" thickBot="1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132"/>
      <c r="L7" s="132"/>
    </row>
    <row r="8" spans="1:12" ht="22.5" customHeight="1" thickBot="1">
      <c r="A8" s="242"/>
      <c r="B8" s="288" t="s">
        <v>150</v>
      </c>
      <c r="C8" s="289"/>
      <c r="D8" s="289"/>
      <c r="E8" s="289"/>
      <c r="F8" s="289"/>
      <c r="G8" s="289"/>
      <c r="H8" s="289"/>
      <c r="I8" s="289"/>
      <c r="J8" s="289"/>
      <c r="K8" s="290"/>
      <c r="L8" s="132"/>
    </row>
    <row r="9" spans="1:12" ht="17.25" customHeight="1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24.75" customHeight="1" thickBot="1">
      <c r="A10" s="132"/>
      <c r="B10" s="284" t="s">
        <v>126</v>
      </c>
      <c r="C10" s="285"/>
      <c r="D10" s="285"/>
      <c r="E10" s="285"/>
      <c r="F10" s="285"/>
      <c r="G10" s="285"/>
      <c r="H10" s="285"/>
      <c r="I10" s="285"/>
      <c r="J10" s="285"/>
      <c r="K10" s="286"/>
      <c r="L10" s="132"/>
    </row>
    <row r="11" spans="1:14" ht="24.75" customHeight="1">
      <c r="A11" s="132"/>
      <c r="B11" s="133"/>
      <c r="C11" s="132"/>
      <c r="D11" s="134"/>
      <c r="E11" s="134"/>
      <c r="F11" s="141" t="s">
        <v>133</v>
      </c>
      <c r="G11" s="115"/>
      <c r="H11" s="156">
        <f>N11/M11</f>
        <v>22</v>
      </c>
      <c r="I11" s="119" t="s">
        <v>120</v>
      </c>
      <c r="J11" s="119"/>
      <c r="K11" s="120"/>
      <c r="L11" s="132"/>
      <c r="M11">
        <v>10</v>
      </c>
      <c r="N11">
        <v>220</v>
      </c>
    </row>
    <row r="12" spans="1:14" ht="24.75" customHeight="1">
      <c r="A12" s="132"/>
      <c r="B12" s="114"/>
      <c r="C12" s="115"/>
      <c r="D12" s="115"/>
      <c r="E12" s="115"/>
      <c r="F12" s="141" t="s">
        <v>31</v>
      </c>
      <c r="G12" s="115"/>
      <c r="H12" s="156">
        <f>N12/M12</f>
        <v>27.6</v>
      </c>
      <c r="I12" s="119" t="s">
        <v>46</v>
      </c>
      <c r="J12" s="119"/>
      <c r="K12" s="120"/>
      <c r="L12" s="132"/>
      <c r="M12">
        <v>10</v>
      </c>
      <c r="N12">
        <v>276</v>
      </c>
    </row>
    <row r="13" spans="1:14" ht="24.75" customHeight="1">
      <c r="A13" s="132"/>
      <c r="B13" s="114"/>
      <c r="C13" s="115"/>
      <c r="D13" s="115"/>
      <c r="E13" s="115"/>
      <c r="F13" s="141" t="s">
        <v>119</v>
      </c>
      <c r="G13" s="115"/>
      <c r="H13" s="157">
        <f>N13/M13</f>
        <v>0.06</v>
      </c>
      <c r="I13" s="119" t="s">
        <v>26</v>
      </c>
      <c r="J13" s="119"/>
      <c r="K13" s="120"/>
      <c r="L13" s="132"/>
      <c r="M13">
        <v>1000</v>
      </c>
      <c r="N13">
        <v>60</v>
      </c>
    </row>
    <row r="14" spans="1:12" ht="9.75" customHeight="1">
      <c r="A14" s="132"/>
      <c r="B14" s="121"/>
      <c r="C14" s="122"/>
      <c r="D14" s="122"/>
      <c r="E14" s="122"/>
      <c r="F14" s="123"/>
      <c r="G14" s="122"/>
      <c r="H14" s="124"/>
      <c r="I14" s="122"/>
      <c r="J14" s="125"/>
      <c r="K14" s="126"/>
      <c r="L14" s="132"/>
    </row>
    <row r="15" spans="1:12" ht="9.75" customHeight="1" thickBot="1">
      <c r="A15" s="132"/>
      <c r="B15" s="115"/>
      <c r="C15" s="115"/>
      <c r="D15" s="115"/>
      <c r="E15" s="115"/>
      <c r="F15" s="115"/>
      <c r="G15" s="115"/>
      <c r="H15" s="119"/>
      <c r="I15" s="118"/>
      <c r="J15" s="119"/>
      <c r="K15" s="132"/>
      <c r="L15" s="132"/>
    </row>
    <row r="16" spans="1:12" ht="24.75" customHeight="1" thickBot="1">
      <c r="A16" s="132"/>
      <c r="B16" s="284" t="s">
        <v>125</v>
      </c>
      <c r="C16" s="285"/>
      <c r="D16" s="285"/>
      <c r="E16" s="285"/>
      <c r="F16" s="285"/>
      <c r="G16" s="285"/>
      <c r="H16" s="285"/>
      <c r="I16" s="285"/>
      <c r="J16" s="285"/>
      <c r="K16" s="286"/>
      <c r="L16" s="132"/>
    </row>
    <row r="17" spans="1:12" ht="24.75" customHeight="1">
      <c r="A17" s="132"/>
      <c r="B17" s="127"/>
      <c r="C17" s="115"/>
      <c r="D17" s="132"/>
      <c r="E17" s="115"/>
      <c r="F17" s="141" t="s">
        <v>27</v>
      </c>
      <c r="G17" s="115"/>
      <c r="H17" s="158">
        <v>5600</v>
      </c>
      <c r="I17" s="119" t="s">
        <v>47</v>
      </c>
      <c r="J17" s="119"/>
      <c r="K17" s="120"/>
      <c r="L17" s="132"/>
    </row>
    <row r="18" spans="1:12" ht="24.75" customHeight="1">
      <c r="A18" s="132"/>
      <c r="B18" s="127"/>
      <c r="C18" s="115"/>
      <c r="D18" s="132"/>
      <c r="E18" s="115"/>
      <c r="F18" s="141" t="s">
        <v>28</v>
      </c>
      <c r="G18" s="115"/>
      <c r="H18" s="159">
        <v>6</v>
      </c>
      <c r="I18" s="119" t="s">
        <v>48</v>
      </c>
      <c r="J18" s="119"/>
      <c r="K18" s="120"/>
      <c r="L18" s="132"/>
    </row>
    <row r="19" spans="1:14" ht="24.75" customHeight="1">
      <c r="A19" s="132"/>
      <c r="B19" s="127"/>
      <c r="C19" s="115"/>
      <c r="D19" s="132"/>
      <c r="E19" s="115"/>
      <c r="F19" s="141" t="s">
        <v>29</v>
      </c>
      <c r="G19" s="115"/>
      <c r="H19" s="158">
        <f>N19*M19</f>
        <v>40000</v>
      </c>
      <c r="I19" s="119" t="s">
        <v>0</v>
      </c>
      <c r="J19" s="119"/>
      <c r="K19" s="120"/>
      <c r="L19" s="132"/>
      <c r="M19">
        <v>1000</v>
      </c>
      <c r="N19">
        <v>40</v>
      </c>
    </row>
    <row r="20" spans="1:12" ht="24.75" customHeight="1">
      <c r="A20" s="132"/>
      <c r="B20" s="127"/>
      <c r="C20" s="115"/>
      <c r="D20" s="132"/>
      <c r="E20" s="115"/>
      <c r="F20" s="141" t="s">
        <v>30</v>
      </c>
      <c r="G20" s="115"/>
      <c r="H20" s="159">
        <v>105</v>
      </c>
      <c r="I20" s="119" t="s">
        <v>25</v>
      </c>
      <c r="J20" s="119"/>
      <c r="K20" s="120"/>
      <c r="L20" s="132"/>
    </row>
    <row r="21" spans="1:12" ht="9.75" customHeight="1">
      <c r="A21" s="132"/>
      <c r="B21" s="129"/>
      <c r="C21" s="122"/>
      <c r="D21" s="122"/>
      <c r="E21" s="122"/>
      <c r="F21" s="122"/>
      <c r="G21" s="122"/>
      <c r="H21" s="125"/>
      <c r="I21" s="130"/>
      <c r="J21" s="125"/>
      <c r="K21" s="126"/>
      <c r="L21" s="132"/>
    </row>
    <row r="22" spans="1:12" ht="9.75" customHeight="1">
      <c r="A22" s="132"/>
      <c r="B22" s="116"/>
      <c r="C22" s="115"/>
      <c r="D22" s="115"/>
      <c r="E22" s="115"/>
      <c r="F22" s="115"/>
      <c r="G22" s="115"/>
      <c r="H22" s="119"/>
      <c r="I22" s="118"/>
      <c r="J22" s="119"/>
      <c r="K22" s="132"/>
      <c r="L22" s="132"/>
    </row>
    <row r="23" spans="1:12" ht="9.75" customHeight="1" thickBot="1">
      <c r="A23" s="132"/>
      <c r="B23" s="116"/>
      <c r="C23" s="115"/>
      <c r="D23" s="115"/>
      <c r="E23" s="115"/>
      <c r="F23" s="115"/>
      <c r="G23" s="115"/>
      <c r="H23" s="119"/>
      <c r="I23" s="118"/>
      <c r="J23" s="119"/>
      <c r="K23" s="132"/>
      <c r="L23" s="132"/>
    </row>
    <row r="24" spans="1:12" ht="24.75" customHeight="1" thickBot="1">
      <c r="A24" s="132"/>
      <c r="B24" s="284" t="s">
        <v>124</v>
      </c>
      <c r="C24" s="285"/>
      <c r="D24" s="285"/>
      <c r="E24" s="285"/>
      <c r="F24" s="285"/>
      <c r="G24" s="285"/>
      <c r="H24" s="285"/>
      <c r="I24" s="285"/>
      <c r="J24" s="285"/>
      <c r="K24" s="286"/>
      <c r="L24" s="132"/>
    </row>
    <row r="25" spans="1:12" ht="24.75" customHeight="1">
      <c r="A25" s="132"/>
      <c r="B25" s="133"/>
      <c r="C25" s="132"/>
      <c r="D25" s="115"/>
      <c r="E25" s="115"/>
      <c r="F25" s="141" t="s">
        <v>134</v>
      </c>
      <c r="G25" s="115"/>
      <c r="H25" s="159">
        <v>75.5</v>
      </c>
      <c r="I25" s="119" t="s">
        <v>49</v>
      </c>
      <c r="J25" s="119"/>
      <c r="K25" s="120"/>
      <c r="L25" s="132"/>
    </row>
    <row r="26" spans="1:12" ht="9.75" customHeight="1">
      <c r="A26" s="132"/>
      <c r="B26" s="129"/>
      <c r="C26" s="131"/>
      <c r="D26" s="122"/>
      <c r="E26" s="122"/>
      <c r="F26" s="122"/>
      <c r="G26" s="122"/>
      <c r="H26" s="125"/>
      <c r="I26" s="130"/>
      <c r="J26" s="125"/>
      <c r="K26" s="126"/>
      <c r="L26" s="132"/>
    </row>
    <row r="27" spans="1:12" ht="9.75" customHeight="1" thickBot="1">
      <c r="A27" s="132"/>
      <c r="B27" s="116"/>
      <c r="C27" s="115"/>
      <c r="D27" s="115"/>
      <c r="E27" s="115"/>
      <c r="F27" s="115"/>
      <c r="G27" s="115"/>
      <c r="H27" s="119"/>
      <c r="I27" s="118"/>
      <c r="J27" s="119"/>
      <c r="K27" s="132"/>
      <c r="L27" s="132"/>
    </row>
    <row r="28" spans="1:12" ht="24.75" customHeight="1" thickBot="1">
      <c r="A28" s="132"/>
      <c r="B28" s="284" t="s">
        <v>123</v>
      </c>
      <c r="C28" s="285"/>
      <c r="D28" s="285"/>
      <c r="E28" s="285"/>
      <c r="F28" s="285"/>
      <c r="G28" s="285"/>
      <c r="H28" s="285"/>
      <c r="I28" s="285"/>
      <c r="J28" s="285"/>
      <c r="K28" s="286"/>
      <c r="L28" s="132"/>
    </row>
    <row r="29" spans="1:14" ht="24.75" customHeight="1">
      <c r="A29" s="132"/>
      <c r="B29" s="127"/>
      <c r="C29" s="115"/>
      <c r="D29" s="132"/>
      <c r="E29" s="115"/>
      <c r="F29" s="141" t="s">
        <v>31</v>
      </c>
      <c r="G29" s="115"/>
      <c r="H29" s="158">
        <f>N29*M29</f>
        <v>2200000</v>
      </c>
      <c r="I29" s="119" t="s">
        <v>47</v>
      </c>
      <c r="J29" s="119"/>
      <c r="K29" s="120"/>
      <c r="L29" s="132"/>
      <c r="M29">
        <v>1000</v>
      </c>
      <c r="N29">
        <v>2200</v>
      </c>
    </row>
    <row r="30" spans="1:12" ht="24.75" customHeight="1">
      <c r="A30" s="132"/>
      <c r="B30" s="127"/>
      <c r="C30" s="115"/>
      <c r="D30" s="132"/>
      <c r="E30" s="115"/>
      <c r="F30" s="141" t="s">
        <v>32</v>
      </c>
      <c r="G30" s="115"/>
      <c r="H30" s="159">
        <v>8</v>
      </c>
      <c r="I30" s="119" t="s">
        <v>141</v>
      </c>
      <c r="J30" s="119"/>
      <c r="K30" s="120"/>
      <c r="L30" s="132"/>
    </row>
    <row r="31" spans="1:12" ht="9.75" customHeight="1">
      <c r="A31" s="132"/>
      <c r="B31" s="129"/>
      <c r="C31" s="122"/>
      <c r="D31" s="122"/>
      <c r="E31" s="122"/>
      <c r="F31" s="122"/>
      <c r="G31" s="122"/>
      <c r="H31" s="125"/>
      <c r="I31" s="130"/>
      <c r="J31" s="125"/>
      <c r="K31" s="126"/>
      <c r="L31" s="132"/>
    </row>
    <row r="32" spans="1:12" ht="9.75" customHeight="1">
      <c r="A32" s="132"/>
      <c r="B32" s="116"/>
      <c r="C32" s="115"/>
      <c r="D32" s="115"/>
      <c r="E32" s="115"/>
      <c r="F32" s="115"/>
      <c r="G32" s="115"/>
      <c r="H32" s="119"/>
      <c r="I32" s="118"/>
      <c r="J32" s="119"/>
      <c r="K32" s="132"/>
      <c r="L32" s="132"/>
    </row>
    <row r="33" spans="1:12" ht="9.75" customHeight="1" thickBot="1">
      <c r="A33" s="132"/>
      <c r="B33" s="116"/>
      <c r="C33" s="115"/>
      <c r="D33" s="115"/>
      <c r="E33" s="115"/>
      <c r="F33" s="115"/>
      <c r="G33" s="115"/>
      <c r="H33" s="119"/>
      <c r="I33" s="118"/>
      <c r="J33" s="119"/>
      <c r="K33" s="132"/>
      <c r="L33" s="132"/>
    </row>
    <row r="34" spans="1:12" ht="24.75" customHeight="1" thickBot="1">
      <c r="A34" s="132"/>
      <c r="B34" s="284" t="s">
        <v>122</v>
      </c>
      <c r="C34" s="285"/>
      <c r="D34" s="285"/>
      <c r="E34" s="285"/>
      <c r="F34" s="285"/>
      <c r="G34" s="285"/>
      <c r="H34" s="285"/>
      <c r="I34" s="285"/>
      <c r="J34" s="285"/>
      <c r="K34" s="286"/>
      <c r="L34" s="132"/>
    </row>
    <row r="35" spans="1:14" ht="24.75" customHeight="1">
      <c r="A35" s="132"/>
      <c r="B35" s="133"/>
      <c r="C35" s="132"/>
      <c r="D35" s="135"/>
      <c r="E35" s="135"/>
      <c r="F35" s="142" t="s">
        <v>135</v>
      </c>
      <c r="G35" s="115"/>
      <c r="H35" s="159">
        <f>N35/M35</f>
        <v>3.9</v>
      </c>
      <c r="I35" s="119" t="s">
        <v>50</v>
      </c>
      <c r="J35" s="119"/>
      <c r="K35" s="120"/>
      <c r="L35" s="132"/>
      <c r="M35">
        <v>10</v>
      </c>
      <c r="N35">
        <v>39</v>
      </c>
    </row>
    <row r="36" spans="1:12" ht="9.75" customHeight="1">
      <c r="A36" s="132"/>
      <c r="B36" s="136"/>
      <c r="C36" s="137"/>
      <c r="D36" s="138"/>
      <c r="E36" s="138"/>
      <c r="F36" s="130"/>
      <c r="G36" s="122"/>
      <c r="H36" s="125"/>
      <c r="I36" s="130"/>
      <c r="J36" s="125"/>
      <c r="K36" s="126"/>
      <c r="L36" s="132"/>
    </row>
    <row r="37" spans="1:12" ht="9.75" customHeight="1" thickBot="1">
      <c r="A37" s="132"/>
      <c r="B37" s="132"/>
      <c r="C37" s="132"/>
      <c r="D37" s="135"/>
      <c r="E37" s="135"/>
      <c r="F37" s="118"/>
      <c r="G37" s="115"/>
      <c r="H37" s="119"/>
      <c r="I37" s="118"/>
      <c r="J37" s="119"/>
      <c r="K37" s="132"/>
      <c r="L37" s="132"/>
    </row>
    <row r="38" spans="1:12" ht="24.75" customHeight="1" thickBot="1">
      <c r="A38" s="132"/>
      <c r="B38" s="284" t="s">
        <v>127</v>
      </c>
      <c r="C38" s="285"/>
      <c r="D38" s="285"/>
      <c r="E38" s="285"/>
      <c r="F38" s="285"/>
      <c r="G38" s="285"/>
      <c r="H38" s="285"/>
      <c r="I38" s="285"/>
      <c r="J38" s="285"/>
      <c r="K38" s="286"/>
      <c r="L38" s="132"/>
    </row>
    <row r="39" spans="1:14" ht="24.75" customHeight="1">
      <c r="A39" s="132"/>
      <c r="B39" s="133"/>
      <c r="C39" s="132"/>
      <c r="D39" s="132"/>
      <c r="E39" s="135"/>
      <c r="F39" s="142" t="s">
        <v>136</v>
      </c>
      <c r="G39" s="115"/>
      <c r="H39" s="156">
        <f>N39/M39</f>
        <v>26</v>
      </c>
      <c r="I39" s="119" t="s">
        <v>25</v>
      </c>
      <c r="J39" s="119"/>
      <c r="K39" s="120"/>
      <c r="L39" s="132"/>
      <c r="M39">
        <v>10</v>
      </c>
      <c r="N39">
        <v>260</v>
      </c>
    </row>
    <row r="40" spans="1:12" ht="9.75" customHeight="1">
      <c r="A40" s="132"/>
      <c r="B40" s="136"/>
      <c r="C40" s="137"/>
      <c r="D40" s="137"/>
      <c r="E40" s="138"/>
      <c r="F40" s="130"/>
      <c r="G40" s="122"/>
      <c r="H40" s="139"/>
      <c r="I40" s="130"/>
      <c r="J40" s="125"/>
      <c r="K40" s="126"/>
      <c r="L40" s="132"/>
    </row>
    <row r="41" spans="1:12" ht="9.75" customHeight="1" thickBot="1">
      <c r="A41" s="132"/>
      <c r="B41" s="132"/>
      <c r="C41" s="132"/>
      <c r="D41" s="132"/>
      <c r="E41" s="135"/>
      <c r="F41" s="118"/>
      <c r="G41" s="115"/>
      <c r="H41" s="117"/>
      <c r="I41" s="118"/>
      <c r="J41" s="119"/>
      <c r="K41" s="132"/>
      <c r="L41" s="132"/>
    </row>
    <row r="42" spans="1:12" ht="24.75" customHeight="1" thickBot="1">
      <c r="A42" s="132"/>
      <c r="B42" s="284" t="s">
        <v>128</v>
      </c>
      <c r="C42" s="285"/>
      <c r="D42" s="285"/>
      <c r="E42" s="285"/>
      <c r="F42" s="285"/>
      <c r="G42" s="285"/>
      <c r="H42" s="285"/>
      <c r="I42" s="285"/>
      <c r="J42" s="285"/>
      <c r="K42" s="286"/>
      <c r="L42" s="132"/>
    </row>
    <row r="43" spans="1:14" ht="24.75" customHeight="1">
      <c r="A43" s="132"/>
      <c r="B43" s="127"/>
      <c r="C43" s="132"/>
      <c r="D43" s="135"/>
      <c r="E43" s="135"/>
      <c r="F43" s="142" t="s">
        <v>137</v>
      </c>
      <c r="G43" s="115"/>
      <c r="H43" s="159">
        <f>N43/M43</f>
        <v>9</v>
      </c>
      <c r="I43" s="119" t="s">
        <v>25</v>
      </c>
      <c r="J43" s="119"/>
      <c r="K43" s="120"/>
      <c r="L43" s="132"/>
      <c r="M43">
        <v>10</v>
      </c>
      <c r="N43">
        <v>90</v>
      </c>
    </row>
    <row r="44" spans="1:12" ht="9.75" customHeight="1">
      <c r="A44" s="132"/>
      <c r="B44" s="129"/>
      <c r="C44" s="137"/>
      <c r="D44" s="138"/>
      <c r="E44" s="138"/>
      <c r="F44" s="130"/>
      <c r="G44" s="122"/>
      <c r="H44" s="125"/>
      <c r="I44" s="130"/>
      <c r="J44" s="125"/>
      <c r="K44" s="126"/>
      <c r="L44" s="132"/>
    </row>
    <row r="45" spans="1:12" ht="9.75" customHeight="1" thickBot="1">
      <c r="A45" s="132"/>
      <c r="B45" s="116"/>
      <c r="C45" s="132"/>
      <c r="D45" s="135"/>
      <c r="E45" s="135"/>
      <c r="F45" s="118"/>
      <c r="G45" s="115"/>
      <c r="H45" s="119"/>
      <c r="I45" s="118"/>
      <c r="J45" s="119"/>
      <c r="K45" s="132"/>
      <c r="L45" s="132"/>
    </row>
    <row r="46" spans="1:12" ht="24.75" customHeight="1" thickBot="1">
      <c r="A46" s="132"/>
      <c r="B46" s="284" t="s">
        <v>129</v>
      </c>
      <c r="C46" s="285"/>
      <c r="D46" s="285"/>
      <c r="E46" s="285"/>
      <c r="F46" s="285"/>
      <c r="G46" s="285"/>
      <c r="H46" s="285"/>
      <c r="I46" s="285"/>
      <c r="J46" s="285"/>
      <c r="K46" s="286"/>
      <c r="L46" s="132"/>
    </row>
    <row r="47" spans="1:14" ht="24.75" customHeight="1">
      <c r="A47" s="132"/>
      <c r="B47" s="127"/>
      <c r="C47" s="132"/>
      <c r="D47" s="135"/>
      <c r="E47" s="135"/>
      <c r="F47" s="142" t="s">
        <v>138</v>
      </c>
      <c r="G47" s="115"/>
      <c r="H47" s="159">
        <f>N47/M47</f>
        <v>6.8</v>
      </c>
      <c r="I47" s="119" t="s">
        <v>49</v>
      </c>
      <c r="J47" s="119"/>
      <c r="K47" s="120"/>
      <c r="L47" s="132"/>
      <c r="M47">
        <v>10</v>
      </c>
      <c r="N47">
        <v>68</v>
      </c>
    </row>
    <row r="48" spans="1:12" ht="9.75" customHeight="1">
      <c r="A48" s="132"/>
      <c r="B48" s="129"/>
      <c r="C48" s="137"/>
      <c r="D48" s="138"/>
      <c r="E48" s="138"/>
      <c r="F48" s="130"/>
      <c r="G48" s="122"/>
      <c r="H48" s="125"/>
      <c r="I48" s="130"/>
      <c r="J48" s="125"/>
      <c r="K48" s="126"/>
      <c r="L48" s="132"/>
    </row>
    <row r="49" spans="1:12" ht="9.75" customHeight="1" thickBot="1">
      <c r="A49" s="132"/>
      <c r="B49" s="116"/>
      <c r="C49" s="132"/>
      <c r="D49" s="135"/>
      <c r="E49" s="135"/>
      <c r="F49" s="118"/>
      <c r="G49" s="115"/>
      <c r="H49" s="119"/>
      <c r="I49" s="118"/>
      <c r="J49" s="119"/>
      <c r="K49" s="132"/>
      <c r="L49" s="132"/>
    </row>
    <row r="50" spans="1:12" ht="24.75" customHeight="1" thickBot="1">
      <c r="A50" s="132"/>
      <c r="B50" s="284" t="s">
        <v>130</v>
      </c>
      <c r="C50" s="285"/>
      <c r="D50" s="285"/>
      <c r="E50" s="285"/>
      <c r="F50" s="285"/>
      <c r="G50" s="285"/>
      <c r="H50" s="285"/>
      <c r="I50" s="285"/>
      <c r="J50" s="285"/>
      <c r="K50" s="286"/>
      <c r="L50" s="132"/>
    </row>
    <row r="51" spans="1:14" ht="24.75" customHeight="1">
      <c r="A51" s="132"/>
      <c r="B51" s="127"/>
      <c r="C51" s="132"/>
      <c r="D51" s="135"/>
      <c r="E51" s="135"/>
      <c r="F51" s="142" t="s">
        <v>139</v>
      </c>
      <c r="G51" s="115"/>
      <c r="H51" s="158">
        <f>N51*M51</f>
        <v>60000</v>
      </c>
      <c r="I51" s="119" t="s">
        <v>47</v>
      </c>
      <c r="J51" s="119"/>
      <c r="K51" s="120"/>
      <c r="L51" s="132"/>
      <c r="M51">
        <v>1000</v>
      </c>
      <c r="N51">
        <v>60</v>
      </c>
    </row>
    <row r="52" spans="1:12" ht="9.75" customHeight="1">
      <c r="A52" s="132"/>
      <c r="B52" s="129"/>
      <c r="C52" s="137"/>
      <c r="D52" s="138"/>
      <c r="E52" s="138"/>
      <c r="F52" s="130"/>
      <c r="G52" s="122"/>
      <c r="H52" s="140"/>
      <c r="I52" s="130"/>
      <c r="J52" s="125"/>
      <c r="K52" s="126"/>
      <c r="L52" s="132"/>
    </row>
    <row r="53" spans="1:12" ht="9.75" customHeight="1" thickBot="1">
      <c r="A53" s="132"/>
      <c r="B53" s="116"/>
      <c r="C53" s="132"/>
      <c r="D53" s="135"/>
      <c r="E53" s="135"/>
      <c r="F53" s="118"/>
      <c r="G53" s="115"/>
      <c r="H53" s="128"/>
      <c r="I53" s="118"/>
      <c r="J53" s="119"/>
      <c r="K53" s="132"/>
      <c r="L53" s="132"/>
    </row>
    <row r="54" spans="1:12" ht="24.75" customHeight="1" thickBot="1">
      <c r="A54" s="132"/>
      <c r="B54" s="284" t="s">
        <v>131</v>
      </c>
      <c r="C54" s="285"/>
      <c r="D54" s="285"/>
      <c r="E54" s="285"/>
      <c r="F54" s="285"/>
      <c r="G54" s="285"/>
      <c r="H54" s="285"/>
      <c r="I54" s="285"/>
      <c r="J54" s="285"/>
      <c r="K54" s="286"/>
      <c r="L54" s="132"/>
    </row>
    <row r="55" spans="1:14" ht="24.75" customHeight="1">
      <c r="A55" s="132"/>
      <c r="B55" s="127"/>
      <c r="C55" s="132"/>
      <c r="D55" s="135"/>
      <c r="E55" s="135"/>
      <c r="F55" s="142" t="s">
        <v>33</v>
      </c>
      <c r="G55" s="115"/>
      <c r="H55" s="158">
        <f>N55*M55</f>
        <v>50000</v>
      </c>
      <c r="I55" s="119" t="s">
        <v>47</v>
      </c>
      <c r="J55" s="119"/>
      <c r="K55" s="120"/>
      <c r="L55" s="132"/>
      <c r="M55">
        <v>1000</v>
      </c>
      <c r="N55">
        <v>50</v>
      </c>
    </row>
    <row r="56" spans="1:12" ht="9.75" customHeight="1">
      <c r="A56" s="132"/>
      <c r="B56" s="129"/>
      <c r="C56" s="137"/>
      <c r="D56" s="138"/>
      <c r="E56" s="138"/>
      <c r="F56" s="130"/>
      <c r="G56" s="122"/>
      <c r="H56" s="140"/>
      <c r="I56" s="130"/>
      <c r="J56" s="125"/>
      <c r="K56" s="126"/>
      <c r="L56" s="132"/>
    </row>
    <row r="57" spans="1:12" ht="9.75" customHeight="1" thickBot="1">
      <c r="A57" s="132"/>
      <c r="B57" s="116"/>
      <c r="C57" s="132"/>
      <c r="D57" s="135"/>
      <c r="E57" s="135"/>
      <c r="F57" s="118"/>
      <c r="G57" s="115"/>
      <c r="H57" s="128"/>
      <c r="I57" s="118"/>
      <c r="J57" s="119"/>
      <c r="K57" s="132"/>
      <c r="L57" s="132"/>
    </row>
    <row r="58" spans="1:12" ht="24.75" customHeight="1" thickBot="1">
      <c r="A58" s="132"/>
      <c r="B58" s="284" t="s">
        <v>132</v>
      </c>
      <c r="C58" s="285"/>
      <c r="D58" s="285"/>
      <c r="E58" s="285"/>
      <c r="F58" s="285"/>
      <c r="G58" s="285"/>
      <c r="H58" s="285"/>
      <c r="I58" s="285"/>
      <c r="J58" s="285"/>
      <c r="K58" s="286"/>
      <c r="L58" s="132"/>
    </row>
    <row r="59" spans="1:14" ht="24.75" customHeight="1">
      <c r="A59" s="132"/>
      <c r="B59" s="127"/>
      <c r="C59" s="132"/>
      <c r="D59" s="135"/>
      <c r="E59" s="135"/>
      <c r="F59" s="142" t="s">
        <v>34</v>
      </c>
      <c r="G59" s="115"/>
      <c r="H59" s="158">
        <f>N59*M59</f>
        <v>40000</v>
      </c>
      <c r="I59" s="119" t="s">
        <v>47</v>
      </c>
      <c r="J59" s="119"/>
      <c r="K59" s="120"/>
      <c r="L59" s="132"/>
      <c r="M59">
        <v>1000</v>
      </c>
      <c r="N59">
        <v>40</v>
      </c>
    </row>
    <row r="60" spans="1:12" ht="9.75" customHeight="1">
      <c r="A60" s="132"/>
      <c r="B60" s="129"/>
      <c r="C60" s="137"/>
      <c r="D60" s="138"/>
      <c r="E60" s="138"/>
      <c r="F60" s="130"/>
      <c r="G60" s="122"/>
      <c r="H60" s="140"/>
      <c r="I60" s="130"/>
      <c r="J60" s="125"/>
      <c r="K60" s="126"/>
      <c r="L60" s="132"/>
    </row>
    <row r="61" spans="1:12" ht="13.5" customHeight="1">
      <c r="A61" s="132"/>
      <c r="B61" s="116"/>
      <c r="C61" s="132"/>
      <c r="D61" s="135"/>
      <c r="E61" s="135"/>
      <c r="F61" s="118"/>
      <c r="G61" s="115"/>
      <c r="H61" s="128"/>
      <c r="I61" s="118"/>
      <c r="J61" s="119"/>
      <c r="K61" s="132"/>
      <c r="L61" s="132"/>
    </row>
    <row r="62" spans="2:10" ht="24.75" customHeight="1">
      <c r="B62" s="113"/>
      <c r="C62" s="113"/>
      <c r="D62" s="113"/>
      <c r="E62" s="113"/>
      <c r="F62" s="113"/>
      <c r="G62" s="113"/>
      <c r="H62" s="113"/>
      <c r="I62" s="113"/>
      <c r="J62" s="113"/>
    </row>
    <row r="63" spans="1:11" ht="17.25" customHeight="1">
      <c r="A63" s="143"/>
      <c r="B63" s="283" t="s">
        <v>142</v>
      </c>
      <c r="C63" s="283"/>
      <c r="D63" s="283"/>
      <c r="E63" s="283"/>
      <c r="F63" s="283"/>
      <c r="G63" s="283"/>
      <c r="H63" s="283"/>
      <c r="I63" s="283"/>
      <c r="J63" s="283"/>
      <c r="K63" s="283"/>
    </row>
    <row r="64" spans="1:11" ht="32.25" customHeight="1">
      <c r="A64" s="143"/>
      <c r="B64" s="283"/>
      <c r="C64" s="283"/>
      <c r="D64" s="283"/>
      <c r="E64" s="283"/>
      <c r="F64" s="283"/>
      <c r="G64" s="283"/>
      <c r="H64" s="283"/>
      <c r="I64" s="283"/>
      <c r="J64" s="283"/>
      <c r="K64" s="283"/>
    </row>
    <row r="65" spans="1:10" ht="15.75" customHeight="1" thickBo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ht="9.75" customHeight="1">
      <c r="A66" s="143"/>
      <c r="B66" s="144"/>
      <c r="C66" s="160"/>
      <c r="D66" s="161"/>
      <c r="E66" s="161"/>
      <c r="F66" s="161"/>
      <c r="G66" s="161"/>
      <c r="H66" s="161"/>
      <c r="I66" s="161"/>
      <c r="J66" s="162"/>
    </row>
    <row r="67" spans="2:10" ht="24.75" customHeight="1">
      <c r="B67" s="113"/>
      <c r="C67" s="163"/>
      <c r="D67" s="154" t="s">
        <v>36</v>
      </c>
      <c r="E67" s="154"/>
      <c r="F67" s="154"/>
      <c r="G67" s="115"/>
      <c r="H67" s="119">
        <v>2200</v>
      </c>
      <c r="I67" s="153" t="s">
        <v>51</v>
      </c>
      <c r="J67" s="164"/>
    </row>
    <row r="68" spans="2:14" ht="24.75" customHeight="1">
      <c r="B68" s="113"/>
      <c r="C68" s="163"/>
      <c r="D68" s="154" t="s">
        <v>37</v>
      </c>
      <c r="E68" s="154"/>
      <c r="F68" s="154"/>
      <c r="G68" s="115"/>
      <c r="H68" s="119">
        <f>N68/M68</f>
        <v>3.8</v>
      </c>
      <c r="I68" s="153" t="s">
        <v>51</v>
      </c>
      <c r="J68" s="164"/>
      <c r="M68">
        <v>10</v>
      </c>
      <c r="N68">
        <v>38</v>
      </c>
    </row>
    <row r="69" spans="2:14" ht="24.75" customHeight="1">
      <c r="B69" s="113"/>
      <c r="C69" s="163"/>
      <c r="D69" s="154" t="s">
        <v>38</v>
      </c>
      <c r="E69" s="154" t="s">
        <v>39</v>
      </c>
      <c r="F69" s="154"/>
      <c r="G69" s="115"/>
      <c r="H69" s="119">
        <f>N69/M69</f>
        <v>1.3</v>
      </c>
      <c r="I69" s="153" t="s">
        <v>51</v>
      </c>
      <c r="J69" s="164"/>
      <c r="M69">
        <v>10</v>
      </c>
      <c r="N69">
        <v>13</v>
      </c>
    </row>
    <row r="70" spans="2:10" ht="24.75" customHeight="1">
      <c r="B70" s="113"/>
      <c r="C70" s="163"/>
      <c r="D70" s="154"/>
      <c r="E70" s="154" t="s">
        <v>40</v>
      </c>
      <c r="F70" s="154"/>
      <c r="G70" s="115"/>
      <c r="H70" s="119">
        <f>H68-H69</f>
        <v>2.5</v>
      </c>
      <c r="I70" s="153" t="s">
        <v>51</v>
      </c>
      <c r="J70" s="164"/>
    </row>
    <row r="71" spans="2:10" ht="24.75" customHeight="1">
      <c r="B71" s="113"/>
      <c r="C71" s="163"/>
      <c r="D71" s="154" t="s">
        <v>41</v>
      </c>
      <c r="E71" s="154"/>
      <c r="F71" s="155" t="s">
        <v>61</v>
      </c>
      <c r="G71" s="150"/>
      <c r="H71" s="151">
        <f>H67/H68</f>
        <v>578.9473684210527</v>
      </c>
      <c r="I71" s="153" t="s">
        <v>140</v>
      </c>
      <c r="J71" s="164"/>
    </row>
    <row r="72" spans="2:10" ht="24.75" customHeight="1">
      <c r="B72" s="113"/>
      <c r="C72" s="163"/>
      <c r="D72" s="154" t="s">
        <v>42</v>
      </c>
      <c r="E72" s="154"/>
      <c r="F72" s="155" t="s">
        <v>61</v>
      </c>
      <c r="G72" s="150"/>
      <c r="H72" s="151">
        <f>H71*H69*H73</f>
        <v>37631.57894736843</v>
      </c>
      <c r="I72" s="153" t="s">
        <v>0</v>
      </c>
      <c r="J72" s="164"/>
    </row>
    <row r="73" spans="2:10" ht="24.75" customHeight="1">
      <c r="B73" s="113"/>
      <c r="C73" s="163"/>
      <c r="D73" s="154" t="s">
        <v>43</v>
      </c>
      <c r="E73" s="154"/>
      <c r="F73" s="154"/>
      <c r="G73" s="115"/>
      <c r="H73" s="119">
        <v>50</v>
      </c>
      <c r="I73" s="153" t="s">
        <v>52</v>
      </c>
      <c r="J73" s="164"/>
    </row>
    <row r="74" spans="2:10" ht="24.75" customHeight="1">
      <c r="B74" s="113"/>
      <c r="C74" s="163"/>
      <c r="D74" s="154" t="s">
        <v>44</v>
      </c>
      <c r="E74" s="154"/>
      <c r="F74" s="154"/>
      <c r="G74" s="150" t="s">
        <v>61</v>
      </c>
      <c r="H74" s="152">
        <f>H71*H70</f>
        <v>1447.3684210526317</v>
      </c>
      <c r="I74" s="153" t="s">
        <v>121</v>
      </c>
      <c r="J74" s="164"/>
    </row>
    <row r="75" spans="2:14" ht="24.75" customHeight="1">
      <c r="B75" s="113"/>
      <c r="C75" s="163"/>
      <c r="D75" s="154" t="s">
        <v>45</v>
      </c>
      <c r="E75" s="154"/>
      <c r="F75" s="154"/>
      <c r="G75" s="115"/>
      <c r="H75" s="119">
        <f>N75/M75</f>
        <v>0.75</v>
      </c>
      <c r="I75" s="153"/>
      <c r="J75" s="164"/>
      <c r="M75">
        <v>100</v>
      </c>
      <c r="N75">
        <v>75</v>
      </c>
    </row>
    <row r="76" spans="2:10" ht="9.75" customHeight="1" thickBot="1">
      <c r="B76" s="113"/>
      <c r="C76" s="165"/>
      <c r="D76" s="148"/>
      <c r="E76" s="148"/>
      <c r="F76" s="148"/>
      <c r="G76" s="148"/>
      <c r="H76" s="149"/>
      <c r="I76" s="148"/>
      <c r="J76" s="166"/>
    </row>
    <row r="77" ht="24.75" customHeight="1"/>
    <row r="78" spans="1:10" ht="15.75" customHeight="1">
      <c r="A78" s="112"/>
      <c r="B78" s="287"/>
      <c r="C78" s="287"/>
      <c r="D78" s="287"/>
      <c r="E78" s="287"/>
      <c r="F78" s="287"/>
      <c r="G78" s="287"/>
      <c r="H78" s="287"/>
      <c r="I78" s="287"/>
      <c r="J78" s="287"/>
    </row>
    <row r="79" spans="1:10" ht="14.25" customHeight="1">
      <c r="A79" s="112"/>
      <c r="B79" s="287"/>
      <c r="C79" s="287"/>
      <c r="D79" s="287"/>
      <c r="E79" s="287"/>
      <c r="F79" s="287"/>
      <c r="G79" s="287"/>
      <c r="H79" s="287"/>
      <c r="I79" s="287"/>
      <c r="J79" s="287"/>
    </row>
    <row r="80" spans="1:10" ht="14.25" customHeight="1">
      <c r="A80" s="112"/>
      <c r="B80" s="170"/>
      <c r="C80" s="170"/>
      <c r="D80" s="170"/>
      <c r="E80" s="170"/>
      <c r="F80" s="170"/>
      <c r="G80" s="170"/>
      <c r="H80" s="170"/>
      <c r="I80" s="170"/>
      <c r="J80" s="170"/>
    </row>
    <row r="81" spans="1:10" ht="18" customHeight="1">
      <c r="A81" s="112"/>
      <c r="B81" s="170"/>
      <c r="C81" s="132"/>
      <c r="D81" s="282"/>
      <c r="E81" s="282"/>
      <c r="F81" s="282"/>
      <c r="G81" s="282"/>
      <c r="H81" s="238"/>
      <c r="I81" s="238"/>
      <c r="J81" s="238"/>
    </row>
    <row r="82" spans="2:10" ht="24.75" customHeight="1">
      <c r="B82" s="132"/>
      <c r="C82" s="132"/>
      <c r="D82" s="167"/>
      <c r="E82" s="168"/>
      <c r="F82" s="168"/>
      <c r="G82" s="169"/>
      <c r="H82" s="239"/>
      <c r="I82" s="239"/>
      <c r="J82" s="239"/>
    </row>
    <row r="83" spans="2:10" ht="24.75" customHeight="1">
      <c r="B83" s="132"/>
      <c r="C83" s="132"/>
      <c r="D83" s="168"/>
      <c r="E83" s="168"/>
      <c r="F83" s="168"/>
      <c r="G83" s="169"/>
      <c r="H83" s="240"/>
      <c r="I83" s="240"/>
      <c r="J83" s="240"/>
    </row>
    <row r="84" spans="2:10" ht="24.75" customHeight="1">
      <c r="B84" s="132"/>
      <c r="C84" s="132"/>
      <c r="D84" s="168"/>
      <c r="E84" s="168"/>
      <c r="F84" s="168"/>
      <c r="G84" s="169"/>
      <c r="H84" s="241"/>
      <c r="I84" s="241"/>
      <c r="J84" s="241"/>
    </row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</sheetData>
  <mergeCells count="15">
    <mergeCell ref="B10:K10"/>
    <mergeCell ref="B38:K38"/>
    <mergeCell ref="B42:K42"/>
    <mergeCell ref="B8:K8"/>
    <mergeCell ref="B34:K34"/>
    <mergeCell ref="B28:K28"/>
    <mergeCell ref="B24:K24"/>
    <mergeCell ref="B16:K16"/>
    <mergeCell ref="D81:G81"/>
    <mergeCell ref="B63:K64"/>
    <mergeCell ref="B46:K46"/>
    <mergeCell ref="B50:K50"/>
    <mergeCell ref="B54:K54"/>
    <mergeCell ref="B58:K58"/>
    <mergeCell ref="B78:J79"/>
  </mergeCells>
  <printOptions horizontalCentered="1"/>
  <pageMargins left="1.141732283464567" right="0.7874015748031497" top="0.984251968503937" bottom="0.984251968503937" header="0.5118110236220472" footer="0.5118110236220472"/>
  <pageSetup horizontalDpi="360" verticalDpi="360" orientation="portrait" paperSize="9" scale="7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Q96"/>
  <sheetViews>
    <sheetView showGridLines="0" zoomScale="80" zoomScaleNormal="80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.875" style="0" customWidth="1"/>
    <col min="3" max="3" width="6.125" style="0" customWidth="1"/>
    <col min="4" max="4" width="38.625" style="0" customWidth="1"/>
    <col min="5" max="10" width="13.75390625" style="0" customWidth="1"/>
    <col min="11" max="12" width="16.75390625" style="0" customWidth="1"/>
    <col min="13" max="13" width="1.875" style="0" customWidth="1"/>
    <col min="17" max="18" width="0" style="0" hidden="1" customWidth="1"/>
  </cols>
  <sheetData>
    <row r="2" ht="18">
      <c r="C2" s="306" t="s">
        <v>205</v>
      </c>
    </row>
    <row r="3" ht="26.25">
      <c r="C3" s="367" t="s">
        <v>207</v>
      </c>
    </row>
    <row r="4" ht="18">
      <c r="C4" s="3"/>
    </row>
    <row r="5" ht="18.75">
      <c r="C5" s="3" t="s">
        <v>219</v>
      </c>
    </row>
    <row r="6" spans="2:13" ht="13.5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2:13" ht="21" thickBot="1">
      <c r="B7" s="132"/>
      <c r="C7" s="288" t="s">
        <v>151</v>
      </c>
      <c r="D7" s="289"/>
      <c r="E7" s="289"/>
      <c r="F7" s="289"/>
      <c r="G7" s="289"/>
      <c r="H7" s="289"/>
      <c r="I7" s="289"/>
      <c r="J7" s="289"/>
      <c r="K7" s="289"/>
      <c r="L7" s="290"/>
      <c r="M7" s="132"/>
    </row>
    <row r="8" spans="2:13" ht="23.25" customHeight="1" thickBo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9.5" customHeight="1">
      <c r="B9" s="132"/>
      <c r="C9" s="297" t="s">
        <v>149</v>
      </c>
      <c r="D9" s="298"/>
      <c r="E9" s="292" t="s">
        <v>53</v>
      </c>
      <c r="F9" s="292"/>
      <c r="G9" s="292"/>
      <c r="H9" s="292" t="s">
        <v>54</v>
      </c>
      <c r="I9" s="292"/>
      <c r="J9" s="292"/>
      <c r="K9" s="292" t="s">
        <v>55</v>
      </c>
      <c r="L9" s="294"/>
      <c r="M9" s="132"/>
    </row>
    <row r="10" spans="2:13" ht="19.5" customHeight="1">
      <c r="B10" s="132"/>
      <c r="C10" s="299"/>
      <c r="D10" s="300"/>
      <c r="E10" s="295" t="s">
        <v>5</v>
      </c>
      <c r="F10" s="295"/>
      <c r="G10" s="303" t="s">
        <v>2</v>
      </c>
      <c r="H10" s="295" t="s">
        <v>5</v>
      </c>
      <c r="I10" s="295"/>
      <c r="J10" s="303" t="s">
        <v>2</v>
      </c>
      <c r="K10" s="295" t="s">
        <v>4</v>
      </c>
      <c r="L10" s="296"/>
      <c r="M10" s="132"/>
    </row>
    <row r="11" spans="2:13" ht="19.5" customHeight="1" thickBot="1">
      <c r="B11" s="132"/>
      <c r="C11" s="301"/>
      <c r="D11" s="302"/>
      <c r="E11" s="183" t="s">
        <v>0</v>
      </c>
      <c r="F11" s="183" t="s">
        <v>1</v>
      </c>
      <c r="G11" s="304"/>
      <c r="H11" s="183" t="s">
        <v>0</v>
      </c>
      <c r="I11" s="183" t="s">
        <v>1</v>
      </c>
      <c r="J11" s="304"/>
      <c r="K11" s="183" t="s">
        <v>0</v>
      </c>
      <c r="L11" s="184" t="s">
        <v>3</v>
      </c>
      <c r="M11" s="132"/>
    </row>
    <row r="12" spans="2:13" ht="3" customHeight="1" thickBot="1">
      <c r="B12" s="132"/>
      <c r="C12" s="171"/>
      <c r="D12" s="2"/>
      <c r="E12" s="172"/>
      <c r="F12" s="172"/>
      <c r="G12" s="173"/>
      <c r="H12" s="172"/>
      <c r="I12" s="172"/>
      <c r="J12" s="173"/>
      <c r="K12" s="174"/>
      <c r="L12" s="175"/>
      <c r="M12" s="132"/>
    </row>
    <row r="13" spans="2:13" s="211" customFormat="1" ht="24.75" customHeight="1">
      <c r="B13" s="169"/>
      <c r="C13" s="203" t="s">
        <v>16</v>
      </c>
      <c r="D13" s="204" t="s">
        <v>6</v>
      </c>
      <c r="E13" s="205" t="s">
        <v>24</v>
      </c>
      <c r="F13" s="205"/>
      <c r="G13" s="205"/>
      <c r="H13" s="206">
        <f>(kalkul_zadani!H11*kalkul_zadani!H12/100)*(1+kalkul_zadani!H13)</f>
        <v>6.43632</v>
      </c>
      <c r="I13" s="207"/>
      <c r="J13" s="208"/>
      <c r="K13" s="209">
        <f>H13</f>
        <v>6.43632</v>
      </c>
      <c r="L13" s="210"/>
      <c r="M13" s="169"/>
    </row>
    <row r="14" spans="2:13" s="211" customFormat="1" ht="24.75" customHeight="1">
      <c r="B14" s="169"/>
      <c r="C14" s="212" t="s">
        <v>17</v>
      </c>
      <c r="D14" s="213" t="s">
        <v>7</v>
      </c>
      <c r="E14" s="214" t="s">
        <v>24</v>
      </c>
      <c r="F14" s="214"/>
      <c r="G14" s="214"/>
      <c r="H14" s="215">
        <f>(kalkul_zadani!H17*kalkul_zadani!H18)/(kalkul_zadani!H19*kalkul_zadani!H20/100)</f>
        <v>0.8</v>
      </c>
      <c r="I14" s="215"/>
      <c r="J14" s="216"/>
      <c r="K14" s="217">
        <f>H14</f>
        <v>0.8</v>
      </c>
      <c r="L14" s="218"/>
      <c r="M14" s="169"/>
    </row>
    <row r="15" spans="2:13" s="211" customFormat="1" ht="24.75" customHeight="1">
      <c r="B15" s="169"/>
      <c r="C15" s="219" t="s">
        <v>18</v>
      </c>
      <c r="D15" s="220" t="s">
        <v>8</v>
      </c>
      <c r="E15" s="214"/>
      <c r="F15" s="214"/>
      <c r="G15" s="214" t="s">
        <v>24</v>
      </c>
      <c r="H15" s="215"/>
      <c r="I15" s="215">
        <f>kalkul_zadani!H25</f>
        <v>75.5</v>
      </c>
      <c r="J15" s="216"/>
      <c r="K15" s="221">
        <f>L15/kalkul_zadani!H73</f>
        <v>1.51</v>
      </c>
      <c r="L15" s="222">
        <f>I15</f>
        <v>75.5</v>
      </c>
      <c r="M15" s="169"/>
    </row>
    <row r="16" spans="2:13" s="211" customFormat="1" ht="24.75" customHeight="1">
      <c r="B16" s="169"/>
      <c r="C16" s="212" t="s">
        <v>19</v>
      </c>
      <c r="D16" s="213" t="s">
        <v>9</v>
      </c>
      <c r="E16" s="214"/>
      <c r="F16" s="214"/>
      <c r="G16" s="214"/>
      <c r="H16" s="215"/>
      <c r="I16" s="215"/>
      <c r="J16" s="223">
        <f>kalkul_zadani!H29/kalkul_zadani!H30</f>
        <v>275000</v>
      </c>
      <c r="K16" s="221">
        <f>L16/kalkul_zadani!H73</f>
        <v>2.5</v>
      </c>
      <c r="L16" s="218">
        <f>J16/kalkul_zadani!H67</f>
        <v>125</v>
      </c>
      <c r="M16" s="169"/>
    </row>
    <row r="17" spans="2:13" s="211" customFormat="1" ht="24.75" customHeight="1">
      <c r="B17" s="169"/>
      <c r="C17" s="219" t="s">
        <v>20</v>
      </c>
      <c r="D17" s="220" t="s">
        <v>10</v>
      </c>
      <c r="E17" s="214" t="s">
        <v>24</v>
      </c>
      <c r="F17" s="214"/>
      <c r="G17" s="214"/>
      <c r="H17" s="215">
        <f>kalkul_zadani!H35</f>
        <v>3.9</v>
      </c>
      <c r="I17" s="215"/>
      <c r="J17" s="223"/>
      <c r="K17" s="217">
        <f>H17</f>
        <v>3.9</v>
      </c>
      <c r="L17" s="218"/>
      <c r="M17" s="169"/>
    </row>
    <row r="18" spans="2:13" s="211" customFormat="1" ht="24.75" customHeight="1">
      <c r="B18" s="169"/>
      <c r="C18" s="212" t="s">
        <v>21</v>
      </c>
      <c r="D18" s="213" t="s">
        <v>11</v>
      </c>
      <c r="E18" s="214"/>
      <c r="F18" s="214" t="s">
        <v>24</v>
      </c>
      <c r="G18" s="214"/>
      <c r="H18" s="215"/>
      <c r="I18" s="215">
        <f>kalkul_zadani!H25*(kalkul_zadani!H39+kalkul_zadani!H43)/100</f>
        <v>26.425</v>
      </c>
      <c r="J18" s="223"/>
      <c r="K18" s="224">
        <f>L18/kalkul_zadani!H73</f>
        <v>0.5285</v>
      </c>
      <c r="L18" s="222">
        <f>I18</f>
        <v>26.425</v>
      </c>
      <c r="M18" s="169"/>
    </row>
    <row r="19" spans="2:13" s="211" customFormat="1" ht="24.75" customHeight="1">
      <c r="B19" s="169"/>
      <c r="C19" s="219" t="s">
        <v>22</v>
      </c>
      <c r="D19" s="220" t="s">
        <v>12</v>
      </c>
      <c r="E19" s="214"/>
      <c r="F19" s="214" t="s">
        <v>24</v>
      </c>
      <c r="G19" s="214"/>
      <c r="H19" s="215"/>
      <c r="I19" s="215">
        <f>kalkul_zadani!H47</f>
        <v>6.8</v>
      </c>
      <c r="J19" s="223"/>
      <c r="K19" s="224">
        <f>L19/kalkul_zadani!H73</f>
        <v>0.136</v>
      </c>
      <c r="L19" s="222">
        <f>I19</f>
        <v>6.8</v>
      </c>
      <c r="M19" s="169"/>
    </row>
    <row r="20" spans="2:13" s="211" customFormat="1" ht="24.75" customHeight="1">
      <c r="B20" s="169"/>
      <c r="C20" s="212" t="s">
        <v>23</v>
      </c>
      <c r="D20" s="213" t="s">
        <v>13</v>
      </c>
      <c r="E20" s="214"/>
      <c r="F20" s="214"/>
      <c r="G20" s="214" t="s">
        <v>24</v>
      </c>
      <c r="H20" s="215"/>
      <c r="I20" s="215"/>
      <c r="J20" s="223">
        <f>kalkul_zadani!H51</f>
        <v>60000</v>
      </c>
      <c r="K20" s="224">
        <f>L20/kalkul_zadani!H73</f>
        <v>0.5454545454545454</v>
      </c>
      <c r="L20" s="222">
        <f>J20/kalkul_zadani!H67</f>
        <v>27.272727272727273</v>
      </c>
      <c r="M20" s="169"/>
    </row>
    <row r="21" spans="2:13" s="211" customFormat="1" ht="24.75" customHeight="1">
      <c r="B21" s="169"/>
      <c r="C21" s="225"/>
      <c r="D21" s="226" t="s">
        <v>146</v>
      </c>
      <c r="E21" s="227"/>
      <c r="F21" s="227"/>
      <c r="G21" s="227"/>
      <c r="H21" s="228">
        <f>H13+H14+H17</f>
        <v>11.13632</v>
      </c>
      <c r="I21" s="228">
        <f>I15+I18+I19</f>
        <v>108.725</v>
      </c>
      <c r="J21" s="229">
        <f>J16+J20</f>
        <v>335000</v>
      </c>
      <c r="K21" s="230">
        <f>K13+K14+K15+K16+K17+K18+K19+K20</f>
        <v>16.356274545454546</v>
      </c>
      <c r="L21" s="231">
        <f>L15+L16+L18+L19+L20</f>
        <v>260.9977272727273</v>
      </c>
      <c r="M21" s="169"/>
    </row>
    <row r="22" spans="2:13" s="211" customFormat="1" ht="24.75" customHeight="1">
      <c r="B22" s="169"/>
      <c r="C22" s="232"/>
      <c r="D22" s="213" t="s">
        <v>14</v>
      </c>
      <c r="E22" s="214"/>
      <c r="F22" s="214"/>
      <c r="G22" s="214" t="s">
        <v>24</v>
      </c>
      <c r="H22" s="216"/>
      <c r="I22" s="216"/>
      <c r="J22" s="223">
        <f>kalkul_zadani!H55</f>
        <v>50000</v>
      </c>
      <c r="K22" s="224">
        <f>L22/kalkul_zadani!H73</f>
        <v>0.45454545454545453</v>
      </c>
      <c r="L22" s="222">
        <f>J22/kalkul_zadani!H67</f>
        <v>22.727272727272727</v>
      </c>
      <c r="M22" s="169"/>
    </row>
    <row r="23" spans="2:13" s="211" customFormat="1" ht="24.75" customHeight="1">
      <c r="B23" s="169"/>
      <c r="C23" s="233"/>
      <c r="D23" s="220" t="s">
        <v>15</v>
      </c>
      <c r="E23" s="214"/>
      <c r="F23" s="214"/>
      <c r="G23" s="234" t="s">
        <v>24</v>
      </c>
      <c r="H23" s="216"/>
      <c r="I23" s="216"/>
      <c r="J23" s="223">
        <f>kalkul_zadani!H59</f>
        <v>40000</v>
      </c>
      <c r="K23" s="224">
        <f>L23/kalkul_zadani!H73</f>
        <v>0.36363636363636365</v>
      </c>
      <c r="L23" s="222">
        <f>J23/kalkul_zadani!H67</f>
        <v>18.181818181818183</v>
      </c>
      <c r="M23" s="169"/>
    </row>
    <row r="24" spans="2:13" s="211" customFormat="1" ht="24.75" customHeight="1">
      <c r="B24" s="169"/>
      <c r="C24" s="235"/>
      <c r="D24" s="236" t="s">
        <v>147</v>
      </c>
      <c r="E24" s="227"/>
      <c r="F24" s="227"/>
      <c r="G24" s="237" t="s">
        <v>24</v>
      </c>
      <c r="H24" s="227"/>
      <c r="I24" s="227"/>
      <c r="J24" s="229">
        <f>J22+J23</f>
        <v>90000</v>
      </c>
      <c r="K24" s="230">
        <f>K22+K23</f>
        <v>0.8181818181818181</v>
      </c>
      <c r="L24" s="231">
        <f>L22+L23</f>
        <v>40.90909090909091</v>
      </c>
      <c r="M24" s="169"/>
    </row>
    <row r="25" spans="2:13" ht="27" customHeight="1" thickBot="1">
      <c r="B25" s="132"/>
      <c r="C25" s="188"/>
      <c r="D25" s="189" t="s">
        <v>148</v>
      </c>
      <c r="E25" s="185" t="s">
        <v>24</v>
      </c>
      <c r="F25" s="185" t="s">
        <v>24</v>
      </c>
      <c r="G25" s="186" t="s">
        <v>24</v>
      </c>
      <c r="H25" s="185"/>
      <c r="I25" s="185"/>
      <c r="J25" s="190">
        <f>J21+J24</f>
        <v>425000</v>
      </c>
      <c r="K25" s="191">
        <f>K21+K24</f>
        <v>17.174456363636363</v>
      </c>
      <c r="L25" s="192">
        <f>L21+L24</f>
        <v>301.90681818181815</v>
      </c>
      <c r="M25" s="132"/>
    </row>
    <row r="26" spans="2:13" ht="18" customHeight="1" thickBo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2:13" ht="10.5" customHeight="1">
      <c r="B27" s="132"/>
      <c r="C27" s="193"/>
      <c r="D27" s="145"/>
      <c r="E27" s="145"/>
      <c r="F27" s="145"/>
      <c r="G27" s="145"/>
      <c r="H27" s="145"/>
      <c r="I27" s="145"/>
      <c r="J27" s="145"/>
      <c r="K27" s="145"/>
      <c r="L27" s="146"/>
      <c r="M27" s="132"/>
    </row>
    <row r="28" spans="2:31" ht="18" customHeight="1">
      <c r="B28" s="132"/>
      <c r="C28" s="147"/>
      <c r="D28" s="194" t="s">
        <v>56</v>
      </c>
      <c r="E28" s="195">
        <f>K25</f>
        <v>17.174456363636363</v>
      </c>
      <c r="F28" s="194" t="s">
        <v>50</v>
      </c>
      <c r="G28" s="179"/>
      <c r="H28" s="187"/>
      <c r="I28" s="187"/>
      <c r="J28" s="187"/>
      <c r="K28" s="187"/>
      <c r="L28" s="196"/>
      <c r="M28" s="18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8" customHeight="1">
      <c r="B29" s="132"/>
      <c r="C29" s="147"/>
      <c r="D29" s="194" t="s">
        <v>58</v>
      </c>
      <c r="E29" s="195">
        <f>E28/kalkul_zadani!H75</f>
        <v>22.899275151515152</v>
      </c>
      <c r="F29" s="179" t="s">
        <v>50</v>
      </c>
      <c r="G29" s="179"/>
      <c r="H29" s="187"/>
      <c r="I29" s="187"/>
      <c r="J29" s="187"/>
      <c r="K29" s="187"/>
      <c r="L29" s="196"/>
      <c r="M29" s="18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8" customHeight="1">
      <c r="B30" s="132"/>
      <c r="C30" s="147"/>
      <c r="D30" s="194" t="s">
        <v>57</v>
      </c>
      <c r="E30" s="197">
        <f>kalkul_zadani!H67/kalkul_zadani!H68</f>
        <v>578.9473684210527</v>
      </c>
      <c r="F30" s="179"/>
      <c r="G30" s="179"/>
      <c r="H30" s="187"/>
      <c r="I30" s="187"/>
      <c r="J30" s="187"/>
      <c r="K30" s="187"/>
      <c r="L30" s="196"/>
      <c r="M30" s="18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8" customHeight="1">
      <c r="B31" s="132"/>
      <c r="C31" s="147"/>
      <c r="D31" s="178" t="s">
        <v>59</v>
      </c>
      <c r="E31" s="198">
        <f>kalkul_zadani!H69*kalkul_vypocet!E30*kalkul_zadani!H73</f>
        <v>37631.57894736843</v>
      </c>
      <c r="F31" s="179"/>
      <c r="G31" s="179"/>
      <c r="H31" s="187"/>
      <c r="I31" s="187"/>
      <c r="J31" s="187"/>
      <c r="K31" s="187"/>
      <c r="L31" s="196"/>
      <c r="M31" s="18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8" customHeight="1">
      <c r="B32" s="132"/>
      <c r="C32" s="147"/>
      <c r="D32" s="178" t="s">
        <v>60</v>
      </c>
      <c r="E32" s="199">
        <f>kalkul_zadani!H70*kalkul_vypocet!E30</f>
        <v>1447.3684210526317</v>
      </c>
      <c r="F32" s="179" t="s">
        <v>51</v>
      </c>
      <c r="G32" s="179"/>
      <c r="H32" s="187"/>
      <c r="I32" s="187"/>
      <c r="J32" s="187"/>
      <c r="K32" s="187"/>
      <c r="L32" s="196"/>
      <c r="M32" s="18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0.5" customHeight="1">
      <c r="B33" s="132"/>
      <c r="C33" s="147"/>
      <c r="D33" s="179"/>
      <c r="E33" s="179"/>
      <c r="F33" s="179"/>
      <c r="G33" s="179"/>
      <c r="H33" s="187"/>
      <c r="I33" s="187"/>
      <c r="J33" s="187"/>
      <c r="K33" s="187"/>
      <c r="L33" s="196"/>
      <c r="M33" s="18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95" ht="18" customHeight="1">
      <c r="B34" s="132"/>
      <c r="C34" s="176"/>
      <c r="D34" s="200" t="s">
        <v>143</v>
      </c>
      <c r="E34" s="293" t="s">
        <v>144</v>
      </c>
      <c r="F34" s="293"/>
      <c r="G34" s="201" t="s">
        <v>145</v>
      </c>
      <c r="H34" s="132"/>
      <c r="I34" s="187"/>
      <c r="J34" s="187"/>
      <c r="K34" s="187"/>
      <c r="L34" s="196"/>
      <c r="M34" s="18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2:95" ht="18" customHeight="1">
      <c r="B35" s="132"/>
      <c r="C35" s="176"/>
      <c r="D35" s="200" t="s">
        <v>143</v>
      </c>
      <c r="E35" s="291">
        <f>J25+H21*E31+I21*kalkul_zadani!H67</f>
        <v>1083272.305263158</v>
      </c>
      <c r="F35" s="291"/>
      <c r="G35" s="201" t="s">
        <v>62</v>
      </c>
      <c r="H35" s="132"/>
      <c r="I35" s="187"/>
      <c r="J35" s="187"/>
      <c r="K35" s="187"/>
      <c r="L35" s="196"/>
      <c r="M35" s="18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2:95" ht="10.5" customHeight="1" thickBot="1">
      <c r="B36" s="132"/>
      <c r="C36" s="180"/>
      <c r="D36" s="181"/>
      <c r="E36" s="181"/>
      <c r="F36" s="181"/>
      <c r="G36" s="181"/>
      <c r="H36" s="181"/>
      <c r="I36" s="181"/>
      <c r="J36" s="181"/>
      <c r="K36" s="181"/>
      <c r="L36" s="182"/>
      <c r="M36" s="18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2:95" ht="15">
      <c r="B37" s="132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"/>
      <c r="O37" s="1"/>
      <c r="P37" s="1"/>
      <c r="Q37" s="1">
        <v>10</v>
      </c>
      <c r="R37" s="1">
        <v>100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2:95" ht="10.5" customHeight="1">
      <c r="B38" s="132"/>
      <c r="C38" s="187"/>
      <c r="D38" s="132"/>
      <c r="E38" s="132"/>
      <c r="F38" s="132"/>
      <c r="G38" s="179"/>
      <c r="H38" s="187"/>
      <c r="I38" s="187"/>
      <c r="J38" s="187"/>
      <c r="K38" s="187"/>
      <c r="L38" s="187"/>
      <c r="M38" s="18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3:95" ht="18">
      <c r="C39" s="1"/>
      <c r="G39" s="17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3:95" ht="18">
      <c r="C40" s="1"/>
      <c r="G40" s="17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3:95" ht="15">
      <c r="C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3:95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3:95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3:95" ht="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3:95" ht="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3:95" ht="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3:95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3:95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3:95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3:95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3:95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3:95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3:95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3:95" ht="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3:95" ht="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3:95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3:95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3:95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3:95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3:95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3:95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3:95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3:95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3:95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3:95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3:95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3:95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3:95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3:95" ht="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3:95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3:95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3:95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3:95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3:95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3:95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3:95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3:95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3:95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3:95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3:95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3:95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3:95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3:95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3:95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3:95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3:95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3:95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3:95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3:95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3:95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3:95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3:95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3:95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3:95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3:95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3:95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</sheetData>
  <mergeCells count="12">
    <mergeCell ref="C9:D11"/>
    <mergeCell ref="G10:G11"/>
    <mergeCell ref="J10:J11"/>
    <mergeCell ref="E10:F10"/>
    <mergeCell ref="H10:I10"/>
    <mergeCell ref="C7:L7"/>
    <mergeCell ref="E35:F35"/>
    <mergeCell ref="H9:J9"/>
    <mergeCell ref="E34:F34"/>
    <mergeCell ref="K9:L9"/>
    <mergeCell ref="K10:L10"/>
    <mergeCell ref="E9:G9"/>
  </mergeCells>
  <printOptions horizontalCentered="1"/>
  <pageMargins left="0.7874015748031497" right="0.7874015748031497" top="1.535433070866142" bottom="0.984251968503937" header="0.5118110236220472" footer="0.5118110236220472"/>
  <pageSetup horizontalDpi="360" verticalDpi="360" orientation="landscape" paperSize="9" scale="79" r:id="rId2"/>
  <rowBreaks count="1" manualBreakCount="1">
    <brk id="26" max="255" man="1"/>
  </rowBreaks>
  <ignoredErrors>
    <ignoredError sqref="K17 K21:L21" formula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7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56" width="3.25390625" style="0" customWidth="1"/>
  </cols>
  <sheetData>
    <row r="1" ht="12.75" customHeight="1"/>
    <row r="2" ht="12.75" customHeight="1">
      <c r="B2" s="95" t="s">
        <v>258</v>
      </c>
    </row>
    <row r="3" ht="24" customHeight="1">
      <c r="B3" s="305" t="s">
        <v>257</v>
      </c>
    </row>
    <row r="4" ht="12.75" customHeight="1">
      <c r="B4" s="3"/>
    </row>
    <row r="5" ht="15.75" customHeight="1">
      <c r="B5" s="202" t="s">
        <v>156</v>
      </c>
    </row>
    <row r="6" ht="12.75" customHeight="1"/>
    <row r="7" spans="2:31" ht="15" customHeight="1">
      <c r="B7" s="267" t="s">
        <v>242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X7" s="376">
        <v>5000</v>
      </c>
      <c r="Y7" s="376"/>
      <c r="Z7" s="376"/>
      <c r="AA7" s="374" t="s">
        <v>243</v>
      </c>
      <c r="AB7" s="374"/>
      <c r="AC7" s="374"/>
      <c r="AD7" s="374"/>
      <c r="AE7" s="374"/>
    </row>
    <row r="8" spans="2:31" ht="15" customHeight="1">
      <c r="B8" s="374" t="s">
        <v>264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6">
        <v>1100</v>
      </c>
      <c r="Y8" s="376"/>
      <c r="Z8" s="376"/>
      <c r="AA8" s="374" t="s">
        <v>166</v>
      </c>
      <c r="AB8" s="374" t="s">
        <v>251</v>
      </c>
      <c r="AC8" s="374"/>
      <c r="AD8" s="374"/>
      <c r="AE8" s="374"/>
    </row>
    <row r="9" spans="2:14" s="211" customFormat="1" ht="19.5" customHeight="1">
      <c r="B9" s="211" t="s">
        <v>244</v>
      </c>
      <c r="I9" s="382">
        <f>L13</f>
        <v>15000</v>
      </c>
      <c r="J9" s="382"/>
      <c r="K9" s="383" t="s">
        <v>152</v>
      </c>
      <c r="L9" s="383">
        <f>L14</f>
        <v>20</v>
      </c>
      <c r="M9" s="383" t="s">
        <v>159</v>
      </c>
      <c r="N9" s="384"/>
    </row>
    <row r="10" spans="2:14" ht="15" customHeight="1">
      <c r="B10" t="s">
        <v>246</v>
      </c>
      <c r="M10">
        <v>35</v>
      </c>
      <c r="N10" t="s">
        <v>250</v>
      </c>
    </row>
    <row r="11" ht="15" customHeight="1">
      <c r="B11" t="s">
        <v>245</v>
      </c>
    </row>
    <row r="12" ht="12.75" customHeight="1"/>
    <row r="13" spans="9:14" ht="12.75" customHeight="1">
      <c r="I13" t="s">
        <v>247</v>
      </c>
      <c r="L13" s="385">
        <v>15000</v>
      </c>
      <c r="M13" s="385"/>
      <c r="N13" s="211" t="s">
        <v>47</v>
      </c>
    </row>
    <row r="14" spans="9:14" ht="12.75" customHeight="1">
      <c r="I14" t="s">
        <v>248</v>
      </c>
      <c r="L14" s="386">
        <v>20</v>
      </c>
      <c r="M14" s="386"/>
      <c r="N14" s="211" t="s">
        <v>47</v>
      </c>
    </row>
    <row r="15" spans="2:32" ht="12.75" customHeight="1" thickBot="1"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</row>
    <row r="16" ht="12.75" customHeight="1" thickTop="1"/>
    <row r="17" spans="4:11" ht="18" customHeight="1">
      <c r="D17" s="388" t="s">
        <v>249</v>
      </c>
      <c r="E17" s="388"/>
      <c r="F17" s="388"/>
      <c r="G17" s="388"/>
      <c r="H17" s="388"/>
      <c r="I17" s="388"/>
      <c r="J17" s="388"/>
      <c r="K17" s="388"/>
    </row>
    <row r="18" ht="12.75" customHeight="1"/>
    <row r="19" spans="4:17" ht="12.75" customHeight="1">
      <c r="D19" s="381" t="s">
        <v>252</v>
      </c>
      <c r="E19" s="381"/>
      <c r="F19" s="380">
        <f>M10</f>
        <v>35</v>
      </c>
      <c r="G19" s="380" t="s">
        <v>24</v>
      </c>
      <c r="H19" s="379">
        <f>X8</f>
        <v>1100</v>
      </c>
      <c r="I19" s="379"/>
      <c r="J19" s="380" t="s">
        <v>35</v>
      </c>
      <c r="K19" s="379">
        <f>L13</f>
        <v>15000</v>
      </c>
      <c r="L19" s="379"/>
      <c r="M19" s="380" t="s">
        <v>35</v>
      </c>
      <c r="N19" s="380">
        <f>L14</f>
        <v>20</v>
      </c>
      <c r="O19" s="380" t="s">
        <v>24</v>
      </c>
      <c r="P19" s="379">
        <f>X8</f>
        <v>1100</v>
      </c>
      <c r="Q19" s="379"/>
    </row>
    <row r="20" spans="4:16" ht="12.75" customHeight="1">
      <c r="D20" s="390" t="s">
        <v>252</v>
      </c>
      <c r="E20" s="390"/>
      <c r="F20" s="391">
        <f>F19*H19-K19-N19*P19</f>
        <v>1500</v>
      </c>
      <c r="G20" s="391"/>
      <c r="H20" s="391"/>
      <c r="I20" s="390" t="s">
        <v>47</v>
      </c>
      <c r="K20" t="s">
        <v>253</v>
      </c>
      <c r="N20" s="377">
        <f>X8</f>
        <v>1100</v>
      </c>
      <c r="O20" s="377"/>
      <c r="P20" t="s">
        <v>254</v>
      </c>
    </row>
    <row r="21" ht="12.75" customHeight="1"/>
    <row r="22" spans="2:20" ht="12.75" customHeight="1">
      <c r="B22" t="s">
        <v>255</v>
      </c>
      <c r="K22" s="377">
        <f>X7</f>
        <v>5000</v>
      </c>
      <c r="L22" s="377"/>
      <c r="M22" s="377"/>
      <c r="N22" t="s">
        <v>256</v>
      </c>
      <c r="Q22" s="377">
        <f>K22+F20</f>
        <v>6500</v>
      </c>
      <c r="R22" s="378"/>
      <c r="S22" s="378"/>
      <c r="T22" t="s">
        <v>208</v>
      </c>
    </row>
    <row r="23" ht="12.75" customHeight="1"/>
    <row r="24" ht="12.75" customHeight="1">
      <c r="B24" t="s">
        <v>259</v>
      </c>
    </row>
    <row r="25" ht="12.75" customHeight="1"/>
    <row r="26" spans="2:18" ht="12.75" customHeight="1">
      <c r="B26" s="263"/>
      <c r="C26" s="374" t="s">
        <v>263</v>
      </c>
      <c r="D26" s="393" t="s">
        <v>262</v>
      </c>
      <c r="E26" s="267"/>
      <c r="F26" s="267"/>
      <c r="G26" s="267"/>
      <c r="H26" s="267"/>
      <c r="I26" s="267" t="s">
        <v>260</v>
      </c>
      <c r="J26" s="267"/>
      <c r="K26" s="267"/>
      <c r="L26" s="267"/>
      <c r="M26" s="267"/>
      <c r="N26" s="267"/>
      <c r="O26" s="263"/>
      <c r="P26" s="263"/>
      <c r="Q26" s="263"/>
      <c r="R26" s="263"/>
    </row>
    <row r="27" spans="2:18" ht="12.75" customHeight="1">
      <c r="B27" s="263"/>
      <c r="C27" s="263"/>
      <c r="D27" s="263"/>
      <c r="E27" s="263"/>
      <c r="F27" s="263"/>
      <c r="G27" s="263"/>
      <c r="H27" s="263"/>
      <c r="I27" s="374" t="s">
        <v>261</v>
      </c>
      <c r="J27" s="263"/>
      <c r="K27" s="263"/>
      <c r="L27" s="263"/>
      <c r="M27" s="263"/>
      <c r="N27" s="263"/>
      <c r="O27" s="263"/>
      <c r="P27" s="263"/>
      <c r="Q27" s="263"/>
      <c r="R27" s="263"/>
    </row>
    <row r="28" spans="2:18" ht="12.75" customHeight="1">
      <c r="B28" s="263"/>
      <c r="C28" s="263"/>
      <c r="D28" s="263"/>
      <c r="E28" s="263"/>
      <c r="F28" s="263"/>
      <c r="G28" s="263"/>
      <c r="H28" s="263"/>
      <c r="I28" s="374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2:18" ht="12.75" customHeight="1">
      <c r="B29" s="263"/>
      <c r="C29" s="263"/>
      <c r="D29" s="263"/>
      <c r="E29" s="263" t="s">
        <v>267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2:23" ht="15" customHeight="1">
      <c r="B30" s="263"/>
      <c r="C30" s="263"/>
      <c r="D30" s="263"/>
      <c r="E30" s="376">
        <f>Q22</f>
        <v>6500</v>
      </c>
      <c r="F30" s="376"/>
      <c r="G30" s="376"/>
      <c r="H30" s="375" t="s">
        <v>117</v>
      </c>
      <c r="I30" s="375">
        <f>F19</f>
        <v>35</v>
      </c>
      <c r="J30" s="375" t="s">
        <v>24</v>
      </c>
      <c r="K30" s="376">
        <f>H19</f>
        <v>1100</v>
      </c>
      <c r="L30" s="373"/>
      <c r="M30" s="373"/>
      <c r="N30" s="375" t="s">
        <v>35</v>
      </c>
      <c r="O30" s="376">
        <f>K19</f>
        <v>15000</v>
      </c>
      <c r="P30" s="376"/>
      <c r="Q30" s="376"/>
      <c r="R30" s="375" t="s">
        <v>35</v>
      </c>
      <c r="S30" s="377">
        <f>P19</f>
        <v>1100</v>
      </c>
      <c r="T30" s="377"/>
      <c r="U30" s="377"/>
      <c r="V30" s="370" t="s">
        <v>24</v>
      </c>
      <c r="W30" s="370" t="s">
        <v>265</v>
      </c>
    </row>
    <row r="31" spans="7:11" ht="16.5" customHeight="1">
      <c r="G31" s="381" t="s">
        <v>274</v>
      </c>
      <c r="H31" s="381"/>
      <c r="I31" s="403">
        <f>-(E30-I30*K30+O30)/S30</f>
        <v>15.454545454545455</v>
      </c>
      <c r="J31" s="403"/>
      <c r="K31" s="381" t="s">
        <v>47</v>
      </c>
    </row>
    <row r="32" spans="7:11" ht="12.75" customHeight="1">
      <c r="G32" s="398"/>
      <c r="H32" s="396" t="s">
        <v>266</v>
      </c>
      <c r="I32" s="395">
        <f>L14-I31</f>
        <v>4.545454545454545</v>
      </c>
      <c r="J32" s="395"/>
      <c r="K32" s="390" t="s">
        <v>47</v>
      </c>
    </row>
    <row r="33" spans="7:11" ht="12.75" customHeight="1">
      <c r="G33" s="398"/>
      <c r="H33" s="396"/>
      <c r="I33" s="406"/>
      <c r="J33" s="406"/>
      <c r="K33" s="390"/>
    </row>
    <row r="34" spans="5:11" ht="12.75" customHeight="1">
      <c r="E34" s="405" t="s">
        <v>277</v>
      </c>
      <c r="G34" s="398"/>
      <c r="H34" s="396"/>
      <c r="I34" s="406"/>
      <c r="J34" s="406"/>
      <c r="K34" s="390"/>
    </row>
    <row r="35" spans="10:22" ht="12.75" customHeight="1"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</row>
    <row r="36" spans="3:34" ht="12.75" customHeight="1">
      <c r="C36" t="s">
        <v>268</v>
      </c>
      <c r="D36" s="390" t="s">
        <v>269</v>
      </c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</row>
    <row r="37" spans="10:33" ht="12.75" customHeight="1">
      <c r="J37" s="372"/>
      <c r="K37" s="372"/>
      <c r="L37" s="372"/>
      <c r="M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</row>
    <row r="38" spans="5:24" ht="15.75" customHeight="1">
      <c r="E38" s="377">
        <f>Q22</f>
        <v>6500</v>
      </c>
      <c r="F38" s="377"/>
      <c r="G38" s="377"/>
      <c r="H38" s="370" t="s">
        <v>117</v>
      </c>
      <c r="I38" s="377">
        <f>X8</f>
        <v>1100</v>
      </c>
      <c r="J38" s="377"/>
      <c r="K38" s="377"/>
      <c r="L38" s="369" t="s">
        <v>24</v>
      </c>
      <c r="M38" s="371" t="s">
        <v>270</v>
      </c>
      <c r="N38" s="371"/>
      <c r="O38" s="370" t="s">
        <v>35</v>
      </c>
      <c r="P38" s="377">
        <f>L13</f>
        <v>15000</v>
      </c>
      <c r="Q38" s="377"/>
      <c r="R38" s="377"/>
      <c r="S38" s="370" t="s">
        <v>35</v>
      </c>
      <c r="T38" s="370">
        <f>L14</f>
        <v>20</v>
      </c>
      <c r="U38" s="370" t="s">
        <v>24</v>
      </c>
      <c r="V38" s="377">
        <f>X8</f>
        <v>1100</v>
      </c>
      <c r="W38" s="377"/>
      <c r="X38" s="377"/>
    </row>
    <row r="39" spans="7:31" ht="17.25" customHeight="1">
      <c r="G39" s="397" t="s">
        <v>271</v>
      </c>
      <c r="H39" s="398" t="s">
        <v>117</v>
      </c>
      <c r="I39" s="394">
        <f>(E38+P38+T38*V38)/I38</f>
        <v>39.54545454545455</v>
      </c>
      <c r="J39" s="394"/>
      <c r="K39" s="390" t="s">
        <v>47</v>
      </c>
      <c r="X39" s="372"/>
      <c r="Y39" s="372"/>
      <c r="Z39" s="372"/>
      <c r="AA39" s="372"/>
      <c r="AB39" s="372"/>
      <c r="AC39" s="372"/>
      <c r="AD39" s="372"/>
      <c r="AE39" s="372"/>
    </row>
    <row r="40" ht="12.75" customHeight="1"/>
    <row r="41" spans="5:16" ht="12.75" customHeight="1">
      <c r="E41" s="399" t="s">
        <v>80</v>
      </c>
      <c r="F41" s="399"/>
      <c r="G41" s="399"/>
      <c r="H41" s="400">
        <f>M10</f>
        <v>35</v>
      </c>
      <c r="I41" s="400"/>
      <c r="J41" s="399" t="s">
        <v>152</v>
      </c>
      <c r="K41" s="401">
        <f>I32</f>
        <v>4.545454545454545</v>
      </c>
      <c r="L41" s="401"/>
      <c r="M41" s="399" t="s">
        <v>117</v>
      </c>
      <c r="N41" s="401">
        <f>H41+K41</f>
        <v>39.54545454545455</v>
      </c>
      <c r="O41" s="401"/>
      <c r="P41" s="399" t="s">
        <v>47</v>
      </c>
    </row>
    <row r="42" ht="12.75" customHeight="1">
      <c r="E42" s="405" t="s">
        <v>276</v>
      </c>
    </row>
    <row r="43" ht="12.75" customHeight="1"/>
    <row r="44" spans="3:4" ht="12.75" customHeight="1">
      <c r="C44" t="s">
        <v>272</v>
      </c>
      <c r="D44" s="390" t="s">
        <v>273</v>
      </c>
    </row>
    <row r="45" spans="27:33" ht="12.75" customHeight="1">
      <c r="AA45" s="372"/>
      <c r="AB45" s="372"/>
      <c r="AC45" s="372"/>
      <c r="AD45" s="372"/>
      <c r="AE45" s="372"/>
      <c r="AF45" s="372"/>
      <c r="AG45" s="372"/>
    </row>
    <row r="46" spans="5:35" ht="12.75" customHeight="1">
      <c r="E46" s="377">
        <f>E38</f>
        <v>6500</v>
      </c>
      <c r="F46" s="378"/>
      <c r="G46" s="378"/>
      <c r="H46" s="370" t="s">
        <v>117</v>
      </c>
      <c r="I46" s="370">
        <f>M10</f>
        <v>35</v>
      </c>
      <c r="J46" s="392" t="s">
        <v>159</v>
      </c>
      <c r="K46" s="370" t="s">
        <v>35</v>
      </c>
      <c r="L46" s="377">
        <f>L13</f>
        <v>15000</v>
      </c>
      <c r="M46" s="377"/>
      <c r="N46" s="377"/>
      <c r="O46" s="370" t="s">
        <v>35</v>
      </c>
      <c r="P46" s="378">
        <f>L14</f>
        <v>20</v>
      </c>
      <c r="Q46" s="378"/>
      <c r="R46" s="392" t="s">
        <v>159</v>
      </c>
      <c r="AA46" s="372"/>
      <c r="AB46" s="372"/>
      <c r="AC46" s="372"/>
      <c r="AD46" s="372"/>
      <c r="AE46" s="372"/>
      <c r="AF46" s="372"/>
      <c r="AG46" s="372"/>
      <c r="AH46" s="372"/>
      <c r="AI46" s="372"/>
    </row>
    <row r="47" spans="7:12" ht="12.75" customHeight="1">
      <c r="G47" s="398" t="s">
        <v>159</v>
      </c>
      <c r="H47" s="398" t="s">
        <v>117</v>
      </c>
      <c r="I47" s="402">
        <f>(E46+L46)/(I46-P46)</f>
        <v>1433.3333333333333</v>
      </c>
      <c r="J47" s="402"/>
      <c r="K47" s="402"/>
      <c r="L47" s="390" t="s">
        <v>48</v>
      </c>
    </row>
    <row r="48" ht="12.75" customHeight="1"/>
    <row r="49" spans="5:26" ht="12.75" customHeight="1">
      <c r="E49" s="404" t="s">
        <v>275</v>
      </c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</row>
    <row r="50" ht="12.75" customHeight="1"/>
    <row r="51" ht="24" customHeight="1"/>
    <row r="52" ht="12.75" customHeight="1">
      <c r="C52" s="202" t="s">
        <v>181</v>
      </c>
    </row>
    <row r="53" ht="12.75" customHeight="1"/>
    <row r="54" spans="3:24" ht="15" customHeight="1">
      <c r="C54" s="263" t="s">
        <v>289</v>
      </c>
      <c r="S54" s="389">
        <v>6</v>
      </c>
      <c r="T54" s="389"/>
      <c r="U54" t="s">
        <v>290</v>
      </c>
      <c r="V54" s="389">
        <v>11</v>
      </c>
      <c r="W54" s="389"/>
      <c r="X54" t="s">
        <v>291</v>
      </c>
    </row>
    <row r="55" spans="3:14" ht="15" customHeight="1">
      <c r="C55" s="263" t="s">
        <v>292</v>
      </c>
      <c r="L55" s="389">
        <v>16</v>
      </c>
      <c r="M55" s="389"/>
      <c r="N55" t="s">
        <v>293</v>
      </c>
    </row>
    <row r="56" ht="15" customHeight="1">
      <c r="C56" s="263" t="s">
        <v>278</v>
      </c>
    </row>
    <row r="57" ht="15" customHeight="1">
      <c r="C57" s="263" t="s">
        <v>279</v>
      </c>
    </row>
    <row r="58" spans="3:33" ht="10.5" customHeight="1" thickBot="1"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</row>
    <row r="59" spans="28:33" ht="15" customHeight="1" thickBot="1" thickTop="1">
      <c r="AB59" s="399" t="s">
        <v>294</v>
      </c>
      <c r="AG59" s="441">
        <f>MAX(Q61:R71)</f>
        <v>53</v>
      </c>
    </row>
    <row r="60" spans="3:33" ht="15" customHeight="1" thickBot="1">
      <c r="C60" s="411" t="s">
        <v>159</v>
      </c>
      <c r="D60" s="413"/>
      <c r="E60" s="411" t="s">
        <v>280</v>
      </c>
      <c r="F60" s="412"/>
      <c r="G60" s="412" t="s">
        <v>281</v>
      </c>
      <c r="H60" s="412"/>
      <c r="I60" s="412" t="s">
        <v>282</v>
      </c>
      <c r="J60" s="413"/>
      <c r="K60" s="429" t="s">
        <v>283</v>
      </c>
      <c r="L60" s="412"/>
      <c r="M60" s="412" t="s">
        <v>284</v>
      </c>
      <c r="N60" s="412"/>
      <c r="O60" s="412" t="s">
        <v>285</v>
      </c>
      <c r="P60" s="413"/>
      <c r="Q60" s="429" t="s">
        <v>286</v>
      </c>
      <c r="R60" s="412"/>
      <c r="S60" s="412" t="s">
        <v>287</v>
      </c>
      <c r="T60" s="412"/>
      <c r="U60" s="412" t="s">
        <v>288</v>
      </c>
      <c r="V60" s="413"/>
      <c r="W60" s="408"/>
      <c r="X60" s="408"/>
      <c r="AG60" s="442"/>
    </row>
    <row r="61" spans="3:24" ht="15" customHeight="1">
      <c r="C61" s="430">
        <f>C62-1</f>
        <v>1</v>
      </c>
      <c r="D61" s="431"/>
      <c r="E61" s="419">
        <v>20</v>
      </c>
      <c r="F61" s="416"/>
      <c r="G61" s="416" t="s">
        <v>35</v>
      </c>
      <c r="H61" s="416"/>
      <c r="I61" s="416"/>
      <c r="J61" s="420"/>
      <c r="K61" s="419">
        <f>C61*$L$55</f>
        <v>16</v>
      </c>
      <c r="L61" s="416"/>
      <c r="M61" s="440">
        <f>K61/C61</f>
        <v>16</v>
      </c>
      <c r="N61" s="440"/>
      <c r="O61" s="416" t="s">
        <v>35</v>
      </c>
      <c r="P61" s="420"/>
      <c r="Q61" s="419">
        <f>K61-E61</f>
        <v>-4</v>
      </c>
      <c r="R61" s="416"/>
      <c r="S61" s="416">
        <f>Q61/C61</f>
        <v>-4</v>
      </c>
      <c r="T61" s="416"/>
      <c r="U61" s="416" t="s">
        <v>35</v>
      </c>
      <c r="V61" s="420"/>
      <c r="W61" s="414"/>
      <c r="X61" s="414"/>
    </row>
    <row r="62" spans="3:24" ht="15" customHeight="1">
      <c r="C62" s="430">
        <f>C63-1</f>
        <v>2</v>
      </c>
      <c r="D62" s="431"/>
      <c r="E62" s="421">
        <f>E61+3</f>
        <v>23</v>
      </c>
      <c r="F62" s="407"/>
      <c r="G62" s="418">
        <f>E62/C62</f>
        <v>11.5</v>
      </c>
      <c r="H62" s="418"/>
      <c r="I62" s="407">
        <f>E62-E61</f>
        <v>3</v>
      </c>
      <c r="J62" s="422"/>
      <c r="K62" s="419">
        <f aca="true" t="shared" si="0" ref="K62:K71">C62*$L$55</f>
        <v>32</v>
      </c>
      <c r="L62" s="416"/>
      <c r="M62" s="416">
        <f aca="true" t="shared" si="1" ref="M62:M71">K62/C62</f>
        <v>16</v>
      </c>
      <c r="N62" s="416"/>
      <c r="O62" s="407">
        <f>K62-K61</f>
        <v>16</v>
      </c>
      <c r="P62" s="422"/>
      <c r="Q62" s="419">
        <f aca="true" t="shared" si="2" ref="Q62:Q71">K62-E62</f>
        <v>9</v>
      </c>
      <c r="R62" s="416"/>
      <c r="S62" s="416">
        <f aca="true" t="shared" si="3" ref="S62:S71">Q62/C62</f>
        <v>4.5</v>
      </c>
      <c r="T62" s="416"/>
      <c r="U62" s="407">
        <f>Q62-Q61</f>
        <v>13</v>
      </c>
      <c r="V62" s="422"/>
      <c r="W62" s="414"/>
      <c r="X62" s="414"/>
    </row>
    <row r="63" spans="3:22" ht="15" customHeight="1">
      <c r="C63" s="430">
        <f aca="true" t="shared" si="4" ref="C63:C69">C64-1</f>
        <v>3</v>
      </c>
      <c r="D63" s="431"/>
      <c r="E63" s="421">
        <f>E62+4</f>
        <v>27</v>
      </c>
      <c r="F63" s="407"/>
      <c r="G63" s="418">
        <f aca="true" t="shared" si="5" ref="G63:G71">E63/C63</f>
        <v>9</v>
      </c>
      <c r="H63" s="418"/>
      <c r="I63" s="407">
        <f aca="true" t="shared" si="6" ref="I63:I71">E63-E62</f>
        <v>4</v>
      </c>
      <c r="J63" s="422"/>
      <c r="K63" s="419">
        <f t="shared" si="0"/>
        <v>48</v>
      </c>
      <c r="L63" s="416"/>
      <c r="M63" s="416">
        <f t="shared" si="1"/>
        <v>16</v>
      </c>
      <c r="N63" s="416"/>
      <c r="O63" s="407">
        <f aca="true" t="shared" si="7" ref="O63:O71">K63-K62</f>
        <v>16</v>
      </c>
      <c r="P63" s="422"/>
      <c r="Q63" s="419">
        <f t="shared" si="2"/>
        <v>21</v>
      </c>
      <c r="R63" s="416"/>
      <c r="S63" s="416">
        <f t="shared" si="3"/>
        <v>7</v>
      </c>
      <c r="T63" s="416"/>
      <c r="U63" s="407">
        <f aca="true" t="shared" si="8" ref="U63:U71">Q63-Q62</f>
        <v>12</v>
      </c>
      <c r="V63" s="422"/>
    </row>
    <row r="64" spans="3:22" ht="15" customHeight="1">
      <c r="C64" s="432">
        <f t="shared" si="4"/>
        <v>4</v>
      </c>
      <c r="D64" s="433"/>
      <c r="E64" s="423">
        <f>E63+5</f>
        <v>32</v>
      </c>
      <c r="F64" s="410"/>
      <c r="G64" s="418">
        <f t="shared" si="5"/>
        <v>8</v>
      </c>
      <c r="H64" s="418"/>
      <c r="I64" s="407">
        <f t="shared" si="6"/>
        <v>5</v>
      </c>
      <c r="J64" s="422"/>
      <c r="K64" s="419">
        <f t="shared" si="0"/>
        <v>64</v>
      </c>
      <c r="L64" s="416"/>
      <c r="M64" s="416">
        <f t="shared" si="1"/>
        <v>16</v>
      </c>
      <c r="N64" s="416"/>
      <c r="O64" s="407">
        <f t="shared" si="7"/>
        <v>16</v>
      </c>
      <c r="P64" s="422"/>
      <c r="Q64" s="419">
        <f t="shared" si="2"/>
        <v>32</v>
      </c>
      <c r="R64" s="416"/>
      <c r="S64" s="416">
        <f t="shared" si="3"/>
        <v>8</v>
      </c>
      <c r="T64" s="416"/>
      <c r="U64" s="407">
        <f t="shared" si="8"/>
        <v>11</v>
      </c>
      <c r="V64" s="422"/>
    </row>
    <row r="65" spans="3:22" ht="15" customHeight="1">
      <c r="C65" s="434">
        <f t="shared" si="4"/>
        <v>5</v>
      </c>
      <c r="D65" s="435"/>
      <c r="E65" s="424">
        <f>E64+7</f>
        <v>39</v>
      </c>
      <c r="F65" s="409"/>
      <c r="G65" s="418">
        <f t="shared" si="5"/>
        <v>7.8</v>
      </c>
      <c r="H65" s="418"/>
      <c r="I65" s="407">
        <f t="shared" si="6"/>
        <v>7</v>
      </c>
      <c r="J65" s="422"/>
      <c r="K65" s="419">
        <f t="shared" si="0"/>
        <v>80</v>
      </c>
      <c r="L65" s="416"/>
      <c r="M65" s="416">
        <f t="shared" si="1"/>
        <v>16</v>
      </c>
      <c r="N65" s="416"/>
      <c r="O65" s="407">
        <f t="shared" si="7"/>
        <v>16</v>
      </c>
      <c r="P65" s="422"/>
      <c r="Q65" s="419">
        <f t="shared" si="2"/>
        <v>41</v>
      </c>
      <c r="R65" s="416"/>
      <c r="S65" s="416">
        <f t="shared" si="3"/>
        <v>8.2</v>
      </c>
      <c r="T65" s="416"/>
      <c r="U65" s="407">
        <f t="shared" si="8"/>
        <v>9</v>
      </c>
      <c r="V65" s="422"/>
    </row>
    <row r="66" spans="3:22" ht="12.75" customHeight="1">
      <c r="C66" s="434">
        <f t="shared" si="4"/>
        <v>6</v>
      </c>
      <c r="D66" s="435"/>
      <c r="E66" s="424">
        <f>E65+8</f>
        <v>47</v>
      </c>
      <c r="F66" s="409"/>
      <c r="G66" s="418">
        <f t="shared" si="5"/>
        <v>7.833333333333333</v>
      </c>
      <c r="H66" s="418"/>
      <c r="I66" s="407">
        <f t="shared" si="6"/>
        <v>8</v>
      </c>
      <c r="J66" s="422"/>
      <c r="K66" s="419">
        <f t="shared" si="0"/>
        <v>96</v>
      </c>
      <c r="L66" s="416"/>
      <c r="M66" s="416">
        <f t="shared" si="1"/>
        <v>16</v>
      </c>
      <c r="N66" s="416"/>
      <c r="O66" s="407">
        <f t="shared" si="7"/>
        <v>16</v>
      </c>
      <c r="P66" s="422"/>
      <c r="Q66" s="419">
        <f t="shared" si="2"/>
        <v>49</v>
      </c>
      <c r="R66" s="416"/>
      <c r="S66" s="416">
        <f t="shared" si="3"/>
        <v>8.166666666666666</v>
      </c>
      <c r="T66" s="416"/>
      <c r="U66" s="407">
        <f t="shared" si="8"/>
        <v>8</v>
      </c>
      <c r="V66" s="422"/>
    </row>
    <row r="67" spans="3:22" ht="12.75" customHeight="1">
      <c r="C67" s="434">
        <f t="shared" si="4"/>
        <v>7</v>
      </c>
      <c r="D67" s="435"/>
      <c r="E67" s="424">
        <f>E66+12</f>
        <v>59</v>
      </c>
      <c r="F67" s="409"/>
      <c r="G67" s="418">
        <f t="shared" si="5"/>
        <v>8.428571428571429</v>
      </c>
      <c r="H67" s="418"/>
      <c r="I67" s="407">
        <f t="shared" si="6"/>
        <v>12</v>
      </c>
      <c r="J67" s="422"/>
      <c r="K67" s="419">
        <f t="shared" si="0"/>
        <v>112</v>
      </c>
      <c r="L67" s="416"/>
      <c r="M67" s="416">
        <f t="shared" si="1"/>
        <v>16</v>
      </c>
      <c r="N67" s="416"/>
      <c r="O67" s="407">
        <f t="shared" si="7"/>
        <v>16</v>
      </c>
      <c r="P67" s="422"/>
      <c r="Q67" s="419">
        <f t="shared" si="2"/>
        <v>53</v>
      </c>
      <c r="R67" s="416"/>
      <c r="S67" s="416">
        <f t="shared" si="3"/>
        <v>7.571428571428571</v>
      </c>
      <c r="T67" s="416"/>
      <c r="U67" s="407">
        <f t="shared" si="8"/>
        <v>4</v>
      </c>
      <c r="V67" s="422"/>
    </row>
    <row r="68" spans="3:22" ht="12.75" customHeight="1">
      <c r="C68" s="434">
        <f t="shared" si="4"/>
        <v>8</v>
      </c>
      <c r="D68" s="435"/>
      <c r="E68" s="424">
        <f>E67+16</f>
        <v>75</v>
      </c>
      <c r="F68" s="409"/>
      <c r="G68" s="418">
        <f t="shared" si="5"/>
        <v>9.375</v>
      </c>
      <c r="H68" s="418"/>
      <c r="I68" s="407">
        <f t="shared" si="6"/>
        <v>16</v>
      </c>
      <c r="J68" s="422"/>
      <c r="K68" s="419">
        <f t="shared" si="0"/>
        <v>128</v>
      </c>
      <c r="L68" s="416"/>
      <c r="M68" s="416">
        <f t="shared" si="1"/>
        <v>16</v>
      </c>
      <c r="N68" s="416"/>
      <c r="O68" s="407">
        <f t="shared" si="7"/>
        <v>16</v>
      </c>
      <c r="P68" s="422"/>
      <c r="Q68" s="419">
        <f t="shared" si="2"/>
        <v>53</v>
      </c>
      <c r="R68" s="416"/>
      <c r="S68" s="416">
        <f t="shared" si="3"/>
        <v>6.625</v>
      </c>
      <c r="T68" s="416"/>
      <c r="U68" s="407">
        <f t="shared" si="8"/>
        <v>0</v>
      </c>
      <c r="V68" s="422"/>
    </row>
    <row r="69" spans="3:22" ht="12.75" customHeight="1">
      <c r="C69" s="434">
        <f t="shared" si="4"/>
        <v>9</v>
      </c>
      <c r="D69" s="435"/>
      <c r="E69" s="424">
        <f>E68+22</f>
        <v>97</v>
      </c>
      <c r="F69" s="409"/>
      <c r="G69" s="418">
        <f t="shared" si="5"/>
        <v>10.777777777777779</v>
      </c>
      <c r="H69" s="418"/>
      <c r="I69" s="407">
        <f t="shared" si="6"/>
        <v>22</v>
      </c>
      <c r="J69" s="422"/>
      <c r="K69" s="419">
        <f t="shared" si="0"/>
        <v>144</v>
      </c>
      <c r="L69" s="416"/>
      <c r="M69" s="416">
        <f t="shared" si="1"/>
        <v>16</v>
      </c>
      <c r="N69" s="416"/>
      <c r="O69" s="407">
        <f t="shared" si="7"/>
        <v>16</v>
      </c>
      <c r="P69" s="422"/>
      <c r="Q69" s="419">
        <f t="shared" si="2"/>
        <v>47</v>
      </c>
      <c r="R69" s="416"/>
      <c r="S69" s="416">
        <f t="shared" si="3"/>
        <v>5.222222222222222</v>
      </c>
      <c r="T69" s="416"/>
      <c r="U69" s="407">
        <f t="shared" si="8"/>
        <v>-6</v>
      </c>
      <c r="V69" s="422"/>
    </row>
    <row r="70" spans="3:22" ht="12.75" customHeight="1">
      <c r="C70" s="434">
        <f>C71-1</f>
        <v>10</v>
      </c>
      <c r="D70" s="435"/>
      <c r="E70" s="424">
        <f>E69+30</f>
        <v>127</v>
      </c>
      <c r="F70" s="409"/>
      <c r="G70" s="418">
        <f t="shared" si="5"/>
        <v>12.7</v>
      </c>
      <c r="H70" s="418"/>
      <c r="I70" s="407">
        <f t="shared" si="6"/>
        <v>30</v>
      </c>
      <c r="J70" s="422"/>
      <c r="K70" s="419">
        <f t="shared" si="0"/>
        <v>160</v>
      </c>
      <c r="L70" s="416"/>
      <c r="M70" s="416">
        <f t="shared" si="1"/>
        <v>16</v>
      </c>
      <c r="N70" s="416"/>
      <c r="O70" s="407">
        <f t="shared" si="7"/>
        <v>16</v>
      </c>
      <c r="P70" s="422"/>
      <c r="Q70" s="419">
        <f t="shared" si="2"/>
        <v>33</v>
      </c>
      <c r="R70" s="416"/>
      <c r="S70" s="416">
        <f t="shared" si="3"/>
        <v>3.3</v>
      </c>
      <c r="T70" s="416"/>
      <c r="U70" s="407">
        <f t="shared" si="8"/>
        <v>-14</v>
      </c>
      <c r="V70" s="422"/>
    </row>
    <row r="71" spans="3:22" ht="12.75" customHeight="1" thickBot="1">
      <c r="C71" s="436">
        <f>V54</f>
        <v>11</v>
      </c>
      <c r="D71" s="437"/>
      <c r="E71" s="425">
        <f>E70+50</f>
        <v>177</v>
      </c>
      <c r="F71" s="415"/>
      <c r="G71" s="426">
        <f t="shared" si="5"/>
        <v>16.09090909090909</v>
      </c>
      <c r="H71" s="426"/>
      <c r="I71" s="427">
        <f t="shared" si="6"/>
        <v>50</v>
      </c>
      <c r="J71" s="428"/>
      <c r="K71" s="438">
        <f t="shared" si="0"/>
        <v>176</v>
      </c>
      <c r="L71" s="439"/>
      <c r="M71" s="439">
        <f t="shared" si="1"/>
        <v>16</v>
      </c>
      <c r="N71" s="439"/>
      <c r="O71" s="427">
        <f t="shared" si="7"/>
        <v>16</v>
      </c>
      <c r="P71" s="428"/>
      <c r="Q71" s="438">
        <f t="shared" si="2"/>
        <v>-1</v>
      </c>
      <c r="R71" s="439"/>
      <c r="S71" s="439">
        <f t="shared" si="3"/>
        <v>-0.09090909090909091</v>
      </c>
      <c r="T71" s="439"/>
      <c r="U71" s="427">
        <f t="shared" si="8"/>
        <v>-34</v>
      </c>
      <c r="V71" s="428"/>
    </row>
    <row r="72" spans="3:4" ht="12.75" customHeight="1">
      <c r="C72" s="417"/>
      <c r="D72" s="417"/>
    </row>
    <row r="73" ht="12.75" customHeight="1">
      <c r="C73" t="s">
        <v>295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</sheetData>
  <mergeCells count="156">
    <mergeCell ref="S62:T62"/>
    <mergeCell ref="U62:V62"/>
    <mergeCell ref="Q61:R61"/>
    <mergeCell ref="S61:T61"/>
    <mergeCell ref="U61:V61"/>
    <mergeCell ref="E62:F62"/>
    <mergeCell ref="G62:H62"/>
    <mergeCell ref="I62:J62"/>
    <mergeCell ref="K62:L62"/>
    <mergeCell ref="M62:N62"/>
    <mergeCell ref="O62:P62"/>
    <mergeCell ref="Q62:R62"/>
    <mergeCell ref="I61:J61"/>
    <mergeCell ref="K61:L61"/>
    <mergeCell ref="M61:N61"/>
    <mergeCell ref="O61:P61"/>
    <mergeCell ref="C61:D61"/>
    <mergeCell ref="C62:D62"/>
    <mergeCell ref="E61:F61"/>
    <mergeCell ref="G61:H61"/>
    <mergeCell ref="U71:V71"/>
    <mergeCell ref="M71:N71"/>
    <mergeCell ref="O71:P71"/>
    <mergeCell ref="Q71:R71"/>
    <mergeCell ref="S71:T71"/>
    <mergeCell ref="E71:F71"/>
    <mergeCell ref="G71:H71"/>
    <mergeCell ref="I71:J71"/>
    <mergeCell ref="K71:L71"/>
    <mergeCell ref="U69:V69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M69:N69"/>
    <mergeCell ref="O69:P69"/>
    <mergeCell ref="Q69:R69"/>
    <mergeCell ref="S69:T69"/>
    <mergeCell ref="E69:F69"/>
    <mergeCell ref="G69:H69"/>
    <mergeCell ref="I69:J69"/>
    <mergeCell ref="K69:L69"/>
    <mergeCell ref="U67:V67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M67:N67"/>
    <mergeCell ref="O67:P67"/>
    <mergeCell ref="Q67:R67"/>
    <mergeCell ref="S67:T67"/>
    <mergeCell ref="E67:F67"/>
    <mergeCell ref="G67:H67"/>
    <mergeCell ref="I67:J67"/>
    <mergeCell ref="K67:L67"/>
    <mergeCell ref="U65:V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S64:T64"/>
    <mergeCell ref="U64:V64"/>
    <mergeCell ref="E65:F65"/>
    <mergeCell ref="G65:H65"/>
    <mergeCell ref="I65:J65"/>
    <mergeCell ref="K65:L65"/>
    <mergeCell ref="M65:N65"/>
    <mergeCell ref="O65:P65"/>
    <mergeCell ref="Q65:R65"/>
    <mergeCell ref="S65:T65"/>
    <mergeCell ref="Q63:R63"/>
    <mergeCell ref="S63:T63"/>
    <mergeCell ref="U63:V63"/>
    <mergeCell ref="E64:F64"/>
    <mergeCell ref="G64:H64"/>
    <mergeCell ref="I64:J64"/>
    <mergeCell ref="K64:L64"/>
    <mergeCell ref="M64:N64"/>
    <mergeCell ref="O64:P64"/>
    <mergeCell ref="Q64:R64"/>
    <mergeCell ref="C69:D69"/>
    <mergeCell ref="C70:D70"/>
    <mergeCell ref="C71:D71"/>
    <mergeCell ref="C65:D65"/>
    <mergeCell ref="C66:D66"/>
    <mergeCell ref="C67:D67"/>
    <mergeCell ref="C68:D68"/>
    <mergeCell ref="V54:W54"/>
    <mergeCell ref="S54:T54"/>
    <mergeCell ref="C63:D63"/>
    <mergeCell ref="C64:D64"/>
    <mergeCell ref="E63:F63"/>
    <mergeCell ref="G63:H63"/>
    <mergeCell ref="I63:J63"/>
    <mergeCell ref="K63:L63"/>
    <mergeCell ref="M63:N63"/>
    <mergeCell ref="O63:P63"/>
    <mergeCell ref="S60:T60"/>
    <mergeCell ref="U60:V60"/>
    <mergeCell ref="W60:X60"/>
    <mergeCell ref="L55:M55"/>
    <mergeCell ref="K60:L60"/>
    <mergeCell ref="M60:N60"/>
    <mergeCell ref="O60:P60"/>
    <mergeCell ref="Q60:R60"/>
    <mergeCell ref="C60:D60"/>
    <mergeCell ref="E60:F60"/>
    <mergeCell ref="G60:H60"/>
    <mergeCell ref="I60:J60"/>
    <mergeCell ref="H41:I41"/>
    <mergeCell ref="K41:L41"/>
    <mergeCell ref="N41:O41"/>
    <mergeCell ref="I47:K47"/>
    <mergeCell ref="E38:G38"/>
    <mergeCell ref="I38:K38"/>
    <mergeCell ref="M38:N38"/>
    <mergeCell ref="P38:R38"/>
    <mergeCell ref="V38:X38"/>
    <mergeCell ref="I39:J39"/>
    <mergeCell ref="E30:G30"/>
    <mergeCell ref="K30:M30"/>
    <mergeCell ref="O30:Q30"/>
    <mergeCell ref="S30:U30"/>
    <mergeCell ref="I31:J31"/>
    <mergeCell ref="I32:J32"/>
    <mergeCell ref="E46:G46"/>
    <mergeCell ref="L46:N46"/>
    <mergeCell ref="P46:Q46"/>
    <mergeCell ref="F20:H20"/>
    <mergeCell ref="N20:O20"/>
    <mergeCell ref="K22:M22"/>
    <mergeCell ref="Q22:S22"/>
    <mergeCell ref="D17:K17"/>
    <mergeCell ref="H19:I19"/>
    <mergeCell ref="K19:L19"/>
    <mergeCell ref="P19:Q19"/>
    <mergeCell ref="X7:Z7"/>
    <mergeCell ref="X8:Z8"/>
    <mergeCell ref="L13:M13"/>
    <mergeCell ref="L14:M14"/>
    <mergeCell ref="I9:J9"/>
  </mergeCells>
  <conditionalFormatting sqref="Q61:R64 Q66:R71">
    <cfRule type="cellIs" priority="1" dxfId="0" operator="equal" stopIfTrue="1">
      <formula>$AG$59</formula>
    </cfRule>
  </conditionalFormatting>
  <conditionalFormatting sqref="Q65:R65">
    <cfRule type="cellIs" priority="2" dxfId="2" operator="equal" stopIfTrue="1">
      <formula>$AG$59</formula>
    </cfRule>
  </conditionalFormatting>
  <conditionalFormatting sqref="U61:V71">
    <cfRule type="cellIs" priority="3" dxfId="3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BI50"/>
  <sheetViews>
    <sheetView showGridLines="0" workbookViewId="0" topLeftCell="A1">
      <selection activeCell="A1" sqref="A1"/>
    </sheetView>
  </sheetViews>
  <sheetFormatPr defaultColWidth="9.00390625" defaultRowHeight="12.75"/>
  <cols>
    <col min="1" max="44" width="2.75390625" style="307" customWidth="1"/>
    <col min="45" max="53" width="2.75390625" style="307" hidden="1" customWidth="1"/>
    <col min="54" max="54" width="5.00390625" style="307" hidden="1" customWidth="1"/>
    <col min="55" max="58" width="6.75390625" style="307" hidden="1" customWidth="1"/>
    <col min="59" max="59" width="2.75390625" style="307" hidden="1" customWidth="1"/>
    <col min="60" max="60" width="6.125" style="307" hidden="1" customWidth="1"/>
    <col min="61" max="61" width="5.00390625" style="307" hidden="1" customWidth="1"/>
    <col min="62" max="66" width="2.75390625" style="307" hidden="1" customWidth="1"/>
    <col min="67" max="98" width="0" style="307" hidden="1" customWidth="1"/>
    <col min="99" max="16384" width="9.125" style="307" customWidth="1"/>
  </cols>
  <sheetData>
    <row r="2" ht="15">
      <c r="C2" s="95" t="s">
        <v>239</v>
      </c>
    </row>
    <row r="3" ht="23.25">
      <c r="C3" s="305" t="s">
        <v>240</v>
      </c>
    </row>
    <row r="4" ht="18">
      <c r="C4" s="3"/>
    </row>
    <row r="5" ht="15.75">
      <c r="C5" s="202" t="s">
        <v>156</v>
      </c>
    </row>
    <row r="6" ht="16.5" customHeight="1"/>
    <row r="7" spans="5:50" ht="16.5" customHeight="1">
      <c r="E7" s="308" t="s">
        <v>220</v>
      </c>
      <c r="F7" s="308"/>
      <c r="G7" s="308"/>
      <c r="H7" s="308"/>
      <c r="I7" s="308"/>
      <c r="J7" s="308"/>
      <c r="K7" s="308"/>
      <c r="L7" s="309"/>
      <c r="M7" s="309"/>
      <c r="N7" s="310">
        <f>AV7*AT7</f>
        <v>1110000</v>
      </c>
      <c r="O7" s="310"/>
      <c r="P7" s="310"/>
      <c r="Q7" s="310"/>
      <c r="R7" s="310"/>
      <c r="S7" s="311" t="s">
        <v>47</v>
      </c>
      <c r="X7" s="312" t="s">
        <v>221</v>
      </c>
      <c r="Y7" s="312"/>
      <c r="Z7" s="312"/>
      <c r="AA7" s="312"/>
      <c r="AB7" s="312"/>
      <c r="AC7" s="312"/>
      <c r="AD7" s="312"/>
      <c r="AE7" s="313">
        <f>I40</f>
        <v>1650000</v>
      </c>
      <c r="AF7" s="314"/>
      <c r="AG7" s="314"/>
      <c r="AH7" s="314"/>
      <c r="AI7" s="314"/>
      <c r="AJ7" s="314"/>
      <c r="AK7" s="307" t="s">
        <v>47</v>
      </c>
      <c r="AT7" s="315">
        <v>10000</v>
      </c>
      <c r="AU7" s="315"/>
      <c r="AV7" s="315">
        <v>111</v>
      </c>
      <c r="AW7" s="315"/>
      <c r="AX7" s="315"/>
    </row>
    <row r="8" spans="5:50" ht="16.5" customHeight="1">
      <c r="E8" s="308" t="s">
        <v>222</v>
      </c>
      <c r="F8" s="308"/>
      <c r="G8" s="308"/>
      <c r="H8" s="308"/>
      <c r="I8" s="308"/>
      <c r="J8" s="308"/>
      <c r="K8" s="308"/>
      <c r="L8" s="309"/>
      <c r="M8" s="309"/>
      <c r="N8" s="309"/>
      <c r="O8" s="316">
        <f>AV8/AT8</f>
        <v>10</v>
      </c>
      <c r="P8" s="316"/>
      <c r="Q8" s="316"/>
      <c r="R8" s="316"/>
      <c r="S8" s="311" t="s">
        <v>25</v>
      </c>
      <c r="X8" s="317" t="s">
        <v>223</v>
      </c>
      <c r="Y8" s="317"/>
      <c r="Z8" s="317"/>
      <c r="AA8" s="317"/>
      <c r="AB8" s="317"/>
      <c r="AC8" s="317"/>
      <c r="AD8" s="317"/>
      <c r="AE8" s="313">
        <f>S40</f>
        <v>1113723.6030822531</v>
      </c>
      <c r="AF8" s="313"/>
      <c r="AG8" s="313"/>
      <c r="AH8" s="313"/>
      <c r="AI8" s="313"/>
      <c r="AJ8" s="313"/>
      <c r="AK8" s="311" t="s">
        <v>47</v>
      </c>
      <c r="AT8" s="318">
        <v>10</v>
      </c>
      <c r="AU8" s="318"/>
      <c r="AV8" s="315">
        <v>100</v>
      </c>
      <c r="AW8" s="315"/>
      <c r="AX8" s="315"/>
    </row>
    <row r="9" spans="5:37" ht="16.5" customHeight="1">
      <c r="E9" s="319"/>
      <c r="F9" s="319"/>
      <c r="G9" s="319"/>
      <c r="H9" s="319"/>
      <c r="I9" s="319"/>
      <c r="J9" s="319"/>
      <c r="K9" s="319"/>
      <c r="L9" s="309"/>
      <c r="M9" s="309"/>
      <c r="N9" s="309"/>
      <c r="O9" s="309"/>
      <c r="P9" s="320"/>
      <c r="Q9" s="320"/>
      <c r="R9" s="311"/>
      <c r="S9" s="311"/>
      <c r="X9" s="317" t="s">
        <v>224</v>
      </c>
      <c r="Y9" s="317"/>
      <c r="Z9" s="317"/>
      <c r="AA9" s="317"/>
      <c r="AB9" s="317"/>
      <c r="AC9" s="317"/>
      <c r="AD9" s="317"/>
      <c r="AE9" s="313">
        <f>N7</f>
        <v>1110000</v>
      </c>
      <c r="AF9" s="314"/>
      <c r="AG9" s="314"/>
      <c r="AH9" s="314"/>
      <c r="AI9" s="314"/>
      <c r="AJ9" s="314"/>
      <c r="AK9" s="311" t="s">
        <v>47</v>
      </c>
    </row>
    <row r="10" spans="5:37" ht="16.5" customHeight="1">
      <c r="E10" s="319"/>
      <c r="F10" s="319"/>
      <c r="G10" s="319"/>
      <c r="H10" s="319"/>
      <c r="I10" s="319"/>
      <c r="J10" s="319"/>
      <c r="K10" s="319"/>
      <c r="L10" s="309"/>
      <c r="M10" s="309"/>
      <c r="N10" s="309"/>
      <c r="O10" s="309"/>
      <c r="P10" s="320"/>
      <c r="Q10" s="320"/>
      <c r="R10" s="311"/>
      <c r="S10" s="311"/>
      <c r="X10" s="317" t="s">
        <v>225</v>
      </c>
      <c r="Y10" s="317"/>
      <c r="Z10" s="317"/>
      <c r="AA10" s="317"/>
      <c r="AB10" s="317"/>
      <c r="AC10" s="317"/>
      <c r="AD10" s="317"/>
      <c r="AE10" s="321">
        <f>AE8-AE9</f>
        <v>3723.603082253132</v>
      </c>
      <c r="AF10" s="321"/>
      <c r="AG10" s="321"/>
      <c r="AH10" s="321"/>
      <c r="AI10" s="321"/>
      <c r="AJ10" s="321"/>
      <c r="AK10" s="311" t="s">
        <v>47</v>
      </c>
    </row>
    <row r="11" spans="5:30" ht="6" customHeight="1">
      <c r="E11" s="319"/>
      <c r="F11" s="319"/>
      <c r="G11" s="319"/>
      <c r="H11" s="319"/>
      <c r="I11" s="319"/>
      <c r="J11" s="319"/>
      <c r="K11" s="319"/>
      <c r="L11" s="309"/>
      <c r="M11" s="309"/>
      <c r="N11" s="309"/>
      <c r="O11" s="309"/>
      <c r="P11" s="320"/>
      <c r="Q11" s="320"/>
      <c r="R11" s="311"/>
      <c r="S11" s="311"/>
      <c r="X11" s="322"/>
      <c r="Y11" s="322"/>
      <c r="Z11" s="322"/>
      <c r="AA11" s="322"/>
      <c r="AB11" s="322"/>
      <c r="AC11" s="322"/>
      <c r="AD11" s="322"/>
    </row>
    <row r="12" spans="3:38" ht="16.5" customHeight="1">
      <c r="C12" s="311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20"/>
      <c r="O12" s="320"/>
      <c r="P12" s="311"/>
      <c r="Q12" s="311"/>
      <c r="Y12" s="322" t="s">
        <v>226</v>
      </c>
      <c r="AI12" s="323" t="str">
        <f>IF(AE10&gt;0,"VÝHODNÁ.","NEVÝHODNÁ.")</f>
        <v>VÝHODNÁ.</v>
      </c>
      <c r="AJ12" s="323"/>
      <c r="AK12" s="323"/>
      <c r="AL12" s="323"/>
    </row>
    <row r="13" spans="3:41" ht="16.5" customHeight="1">
      <c r="C13" s="311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20"/>
      <c r="O13" s="320"/>
      <c r="P13" s="311"/>
      <c r="Q13" s="311"/>
      <c r="AB13" s="322"/>
      <c r="AL13" s="324"/>
      <c r="AM13" s="324"/>
      <c r="AN13" s="324"/>
      <c r="AO13" s="324"/>
    </row>
    <row r="14" spans="4:61" ht="37.5" customHeight="1">
      <c r="D14" s="325" t="s">
        <v>227</v>
      </c>
      <c r="E14" s="326"/>
      <c r="F14" s="326"/>
      <c r="G14" s="326"/>
      <c r="H14" s="327"/>
      <c r="I14" s="328" t="s">
        <v>228</v>
      </c>
      <c r="J14" s="328"/>
      <c r="K14" s="328"/>
      <c r="L14" s="328"/>
      <c r="M14" s="328"/>
      <c r="N14" s="328"/>
      <c r="O14" s="328"/>
      <c r="P14" s="328" t="s">
        <v>237</v>
      </c>
      <c r="Q14" s="328"/>
      <c r="R14" s="328"/>
      <c r="S14" s="329" t="s">
        <v>238</v>
      </c>
      <c r="T14" s="329"/>
      <c r="U14" s="329"/>
      <c r="V14" s="329"/>
      <c r="W14" s="329"/>
      <c r="X14" s="329"/>
      <c r="Y14" s="329" t="s">
        <v>229</v>
      </c>
      <c r="Z14" s="329"/>
      <c r="AA14" s="329"/>
      <c r="AB14" s="329"/>
      <c r="AC14" s="329"/>
      <c r="AD14" s="329"/>
      <c r="AE14" s="329"/>
      <c r="AF14" s="329" t="s">
        <v>230</v>
      </c>
      <c r="AG14" s="329"/>
      <c r="AH14" s="329"/>
      <c r="AI14" s="329"/>
      <c r="AJ14" s="329"/>
      <c r="AK14" s="329"/>
      <c r="AL14" s="329"/>
      <c r="AZ14" s="330" t="s">
        <v>229</v>
      </c>
      <c r="BA14" s="330"/>
      <c r="BB14" s="330"/>
      <c r="BC14" s="330"/>
      <c r="BD14" s="330" t="s">
        <v>230</v>
      </c>
      <c r="BE14" s="330"/>
      <c r="BF14" s="330"/>
      <c r="BH14" s="331" t="s">
        <v>231</v>
      </c>
      <c r="BI14" s="331" t="s">
        <v>232</v>
      </c>
    </row>
    <row r="15" spans="4:61" ht="16.5" customHeight="1">
      <c r="D15" s="332">
        <v>1</v>
      </c>
      <c r="E15" s="333">
        <v>2004</v>
      </c>
      <c r="F15" s="334"/>
      <c r="G15" s="334"/>
      <c r="H15" s="335"/>
      <c r="I15" s="336">
        <f>AV15*AT15</f>
        <v>130000</v>
      </c>
      <c r="J15" s="337"/>
      <c r="K15" s="337"/>
      <c r="L15" s="337"/>
      <c r="M15" s="337"/>
      <c r="N15" s="337"/>
      <c r="O15" s="338"/>
      <c r="P15" s="339">
        <f aca="true" t="shared" si="0" ref="P15:P39">1/(1+$O$8*0.01)^(D15)</f>
        <v>0.9090909090909091</v>
      </c>
      <c r="Q15" s="339"/>
      <c r="R15" s="339"/>
      <c r="S15" s="340">
        <f aca="true" t="shared" si="1" ref="S15:S39">I15*P15</f>
        <v>118181.81818181818</v>
      </c>
      <c r="T15" s="340"/>
      <c r="U15" s="340"/>
      <c r="V15" s="340"/>
      <c r="W15" s="340"/>
      <c r="X15" s="340"/>
      <c r="Y15" s="340">
        <f>I15</f>
        <v>130000</v>
      </c>
      <c r="Z15" s="341"/>
      <c r="AA15" s="341"/>
      <c r="AB15" s="341"/>
      <c r="AC15" s="341"/>
      <c r="AD15" s="341"/>
      <c r="AE15" s="341"/>
      <c r="AF15" s="340">
        <f>S15</f>
        <v>118181.81818181818</v>
      </c>
      <c r="AG15" s="341"/>
      <c r="AH15" s="341"/>
      <c r="AI15" s="341"/>
      <c r="AJ15" s="341"/>
      <c r="AK15" s="341"/>
      <c r="AL15" s="341"/>
      <c r="AT15" s="315">
        <v>10000</v>
      </c>
      <c r="AU15" s="315"/>
      <c r="AV15" s="315">
        <v>13</v>
      </c>
      <c r="AW15" s="315"/>
      <c r="AX15" s="315"/>
      <c r="AZ15" s="342">
        <f aca="true" t="shared" si="2" ref="AZ15:AZ39">IF(Y15&gt;$N$7,1,0)</f>
        <v>0</v>
      </c>
      <c r="BA15" s="342"/>
      <c r="BB15" s="307">
        <f>AZ15</f>
        <v>0</v>
      </c>
      <c r="BC15" s="307">
        <f aca="true" t="shared" si="3" ref="BC15:BC39">IF(BB15=1,D15,0)</f>
        <v>0</v>
      </c>
      <c r="BD15" s="307">
        <f aca="true" t="shared" si="4" ref="BD15:BD39">IF(AF15&gt;$N$7,1,0)</f>
        <v>0</v>
      </c>
      <c r="BE15" s="307">
        <f>BD15</f>
        <v>0</v>
      </c>
      <c r="BF15" s="307">
        <f aca="true" t="shared" si="5" ref="BF15:BF39">IF(BE15=1,D15,0)</f>
        <v>0</v>
      </c>
      <c r="BH15" s="343">
        <f aca="true" t="shared" si="6" ref="BH15:BH39">IF(BC15&gt;0,(BC15)+(($N$7-Y15)/I15),0)</f>
        <v>0</v>
      </c>
      <c r="BI15" s="307">
        <f aca="true" t="shared" si="7" ref="BI15:BI39">IF(BF15&gt;0,(BF15)+(($N$7-AF15)/S15),0)</f>
        <v>0</v>
      </c>
    </row>
    <row r="16" spans="4:61" ht="16.5" customHeight="1">
      <c r="D16" s="332">
        <v>2</v>
      </c>
      <c r="E16" s="344">
        <f aca="true" t="shared" si="8" ref="E16:E39">E15+1</f>
        <v>2005</v>
      </c>
      <c r="F16" s="344"/>
      <c r="G16" s="344"/>
      <c r="H16" s="344"/>
      <c r="I16" s="340">
        <f>AV16*AT15</f>
        <v>130000</v>
      </c>
      <c r="J16" s="340"/>
      <c r="K16" s="340"/>
      <c r="L16" s="340"/>
      <c r="M16" s="340"/>
      <c r="N16" s="340"/>
      <c r="O16" s="340"/>
      <c r="P16" s="339">
        <f t="shared" si="0"/>
        <v>0.8264462809917354</v>
      </c>
      <c r="Q16" s="339"/>
      <c r="R16" s="339"/>
      <c r="S16" s="340">
        <f t="shared" si="1"/>
        <v>107438.01652892561</v>
      </c>
      <c r="T16" s="340"/>
      <c r="U16" s="340"/>
      <c r="V16" s="340"/>
      <c r="W16" s="340"/>
      <c r="X16" s="340"/>
      <c r="Y16" s="340">
        <f aca="true" t="shared" si="9" ref="Y16:Y39">Y15+I16</f>
        <v>260000</v>
      </c>
      <c r="Z16" s="341"/>
      <c r="AA16" s="341"/>
      <c r="AB16" s="341"/>
      <c r="AC16" s="341"/>
      <c r="AD16" s="341"/>
      <c r="AE16" s="341"/>
      <c r="AF16" s="340">
        <f aca="true" t="shared" si="10" ref="AF16:AF39">S16+AF15</f>
        <v>225619.8347107438</v>
      </c>
      <c r="AG16" s="341"/>
      <c r="AH16" s="341"/>
      <c r="AI16" s="341"/>
      <c r="AJ16" s="341"/>
      <c r="AK16" s="341"/>
      <c r="AL16" s="341"/>
      <c r="AV16" s="315">
        <v>13</v>
      </c>
      <c r="AW16" s="315"/>
      <c r="AX16" s="315"/>
      <c r="AZ16" s="342">
        <f t="shared" si="2"/>
        <v>0</v>
      </c>
      <c r="BA16" s="342"/>
      <c r="BB16" s="307">
        <f aca="true" t="shared" si="11" ref="BB16:BB39">BB15+AZ16</f>
        <v>0</v>
      </c>
      <c r="BC16" s="307">
        <f t="shared" si="3"/>
        <v>0</v>
      </c>
      <c r="BD16" s="307">
        <f t="shared" si="4"/>
        <v>0</v>
      </c>
      <c r="BE16" s="307">
        <f aca="true" t="shared" si="12" ref="BE16:BE39">BE15+BD16</f>
        <v>0</v>
      </c>
      <c r="BF16" s="307">
        <f t="shared" si="5"/>
        <v>0</v>
      </c>
      <c r="BH16" s="343">
        <f t="shared" si="6"/>
        <v>0</v>
      </c>
      <c r="BI16" s="307">
        <f t="shared" si="7"/>
        <v>0</v>
      </c>
    </row>
    <row r="17" spans="4:61" ht="16.5" customHeight="1">
      <c r="D17" s="332">
        <v>3</v>
      </c>
      <c r="E17" s="344">
        <f t="shared" si="8"/>
        <v>2006</v>
      </c>
      <c r="F17" s="344"/>
      <c r="G17" s="344"/>
      <c r="H17" s="344"/>
      <c r="I17" s="340">
        <f>AV17*AT15</f>
        <v>130000</v>
      </c>
      <c r="J17" s="340"/>
      <c r="K17" s="340"/>
      <c r="L17" s="340"/>
      <c r="M17" s="340"/>
      <c r="N17" s="340"/>
      <c r="O17" s="340"/>
      <c r="P17" s="339">
        <f t="shared" si="0"/>
        <v>0.7513148009015775</v>
      </c>
      <c r="Q17" s="339"/>
      <c r="R17" s="339"/>
      <c r="S17" s="340">
        <f t="shared" si="1"/>
        <v>97670.92411720508</v>
      </c>
      <c r="T17" s="340"/>
      <c r="U17" s="340"/>
      <c r="V17" s="340"/>
      <c r="W17" s="340"/>
      <c r="X17" s="340"/>
      <c r="Y17" s="340">
        <f t="shared" si="9"/>
        <v>390000</v>
      </c>
      <c r="Z17" s="341"/>
      <c r="AA17" s="341"/>
      <c r="AB17" s="341"/>
      <c r="AC17" s="341"/>
      <c r="AD17" s="341"/>
      <c r="AE17" s="341"/>
      <c r="AF17" s="340">
        <f t="shared" si="10"/>
        <v>323290.7588279489</v>
      </c>
      <c r="AG17" s="341"/>
      <c r="AH17" s="341"/>
      <c r="AI17" s="341"/>
      <c r="AJ17" s="341"/>
      <c r="AK17" s="341"/>
      <c r="AL17" s="341"/>
      <c r="AV17" s="315">
        <v>13</v>
      </c>
      <c r="AW17" s="315"/>
      <c r="AX17" s="315"/>
      <c r="AZ17" s="342">
        <f t="shared" si="2"/>
        <v>0</v>
      </c>
      <c r="BA17" s="342"/>
      <c r="BB17" s="307">
        <f t="shared" si="11"/>
        <v>0</v>
      </c>
      <c r="BC17" s="307">
        <f t="shared" si="3"/>
        <v>0</v>
      </c>
      <c r="BD17" s="307">
        <f t="shared" si="4"/>
        <v>0</v>
      </c>
      <c r="BE17" s="307">
        <f t="shared" si="12"/>
        <v>0</v>
      </c>
      <c r="BF17" s="307">
        <f t="shared" si="5"/>
        <v>0</v>
      </c>
      <c r="BH17" s="343">
        <f t="shared" si="6"/>
        <v>0</v>
      </c>
      <c r="BI17" s="307">
        <f t="shared" si="7"/>
        <v>0</v>
      </c>
    </row>
    <row r="18" spans="4:61" ht="16.5" customHeight="1">
      <c r="D18" s="332">
        <v>4</v>
      </c>
      <c r="E18" s="344">
        <f t="shared" si="8"/>
        <v>2007</v>
      </c>
      <c r="F18" s="344"/>
      <c r="G18" s="344"/>
      <c r="H18" s="344"/>
      <c r="I18" s="340">
        <f>AV18*AT15</f>
        <v>130000</v>
      </c>
      <c r="J18" s="340"/>
      <c r="K18" s="340"/>
      <c r="L18" s="340"/>
      <c r="M18" s="340"/>
      <c r="N18" s="340"/>
      <c r="O18" s="340"/>
      <c r="P18" s="339">
        <f t="shared" si="0"/>
        <v>0.6830134553650705</v>
      </c>
      <c r="Q18" s="339"/>
      <c r="R18" s="339"/>
      <c r="S18" s="340">
        <f t="shared" si="1"/>
        <v>88791.74919745917</v>
      </c>
      <c r="T18" s="340"/>
      <c r="U18" s="340"/>
      <c r="V18" s="340"/>
      <c r="W18" s="340"/>
      <c r="X18" s="340"/>
      <c r="Y18" s="340">
        <f t="shared" si="9"/>
        <v>520000</v>
      </c>
      <c r="Z18" s="341"/>
      <c r="AA18" s="341"/>
      <c r="AB18" s="341"/>
      <c r="AC18" s="341"/>
      <c r="AD18" s="341"/>
      <c r="AE18" s="341"/>
      <c r="AF18" s="340">
        <f t="shared" si="10"/>
        <v>412082.508025408</v>
      </c>
      <c r="AG18" s="341"/>
      <c r="AH18" s="341"/>
      <c r="AI18" s="341"/>
      <c r="AJ18" s="341"/>
      <c r="AK18" s="341"/>
      <c r="AL18" s="341"/>
      <c r="AV18" s="315">
        <v>13</v>
      </c>
      <c r="AW18" s="315"/>
      <c r="AX18" s="315"/>
      <c r="AZ18" s="342">
        <f t="shared" si="2"/>
        <v>0</v>
      </c>
      <c r="BA18" s="342"/>
      <c r="BB18" s="307">
        <f t="shared" si="11"/>
        <v>0</v>
      </c>
      <c r="BC18" s="307">
        <f t="shared" si="3"/>
        <v>0</v>
      </c>
      <c r="BD18" s="307">
        <f t="shared" si="4"/>
        <v>0</v>
      </c>
      <c r="BE18" s="307">
        <f t="shared" si="12"/>
        <v>0</v>
      </c>
      <c r="BF18" s="307">
        <f t="shared" si="5"/>
        <v>0</v>
      </c>
      <c r="BH18" s="345">
        <f t="shared" si="6"/>
        <v>0</v>
      </c>
      <c r="BI18" s="346">
        <f t="shared" si="7"/>
        <v>0</v>
      </c>
    </row>
    <row r="19" spans="4:61" ht="16.5" customHeight="1">
      <c r="D19" s="332">
        <v>5</v>
      </c>
      <c r="E19" s="344">
        <f t="shared" si="8"/>
        <v>2008</v>
      </c>
      <c r="F19" s="344"/>
      <c r="G19" s="344"/>
      <c r="H19" s="344"/>
      <c r="I19" s="340">
        <f>AV19*AT15</f>
        <v>1130000</v>
      </c>
      <c r="J19" s="340"/>
      <c r="K19" s="340"/>
      <c r="L19" s="340"/>
      <c r="M19" s="340"/>
      <c r="N19" s="340"/>
      <c r="O19" s="340"/>
      <c r="P19" s="339">
        <f t="shared" si="0"/>
        <v>0.6209213230591549</v>
      </c>
      <c r="Q19" s="339"/>
      <c r="R19" s="339"/>
      <c r="S19" s="340">
        <f t="shared" si="1"/>
        <v>701641.0950568451</v>
      </c>
      <c r="T19" s="340"/>
      <c r="U19" s="340"/>
      <c r="V19" s="340"/>
      <c r="W19" s="340"/>
      <c r="X19" s="340"/>
      <c r="Y19" s="340">
        <f t="shared" si="9"/>
        <v>1650000</v>
      </c>
      <c r="Z19" s="341"/>
      <c r="AA19" s="341"/>
      <c r="AB19" s="341"/>
      <c r="AC19" s="341"/>
      <c r="AD19" s="341"/>
      <c r="AE19" s="341"/>
      <c r="AF19" s="340">
        <f t="shared" si="10"/>
        <v>1113723.6030822531</v>
      </c>
      <c r="AG19" s="341"/>
      <c r="AH19" s="341"/>
      <c r="AI19" s="341"/>
      <c r="AJ19" s="341"/>
      <c r="AK19" s="341"/>
      <c r="AL19" s="341"/>
      <c r="AV19" s="315">
        <v>113</v>
      </c>
      <c r="AW19" s="315"/>
      <c r="AX19" s="315"/>
      <c r="AZ19" s="342">
        <f t="shared" si="2"/>
        <v>1</v>
      </c>
      <c r="BA19" s="342"/>
      <c r="BB19" s="307">
        <f t="shared" si="11"/>
        <v>1</v>
      </c>
      <c r="BC19" s="307">
        <f t="shared" si="3"/>
        <v>5</v>
      </c>
      <c r="BD19" s="307">
        <f t="shared" si="4"/>
        <v>1</v>
      </c>
      <c r="BE19" s="307">
        <f t="shared" si="12"/>
        <v>1</v>
      </c>
      <c r="BF19" s="307">
        <f t="shared" si="5"/>
        <v>5</v>
      </c>
      <c r="BH19" s="343">
        <f t="shared" si="6"/>
        <v>4.522123893805309</v>
      </c>
      <c r="BI19" s="307">
        <f t="shared" si="7"/>
        <v>4.994693008849558</v>
      </c>
    </row>
    <row r="20" spans="4:61" ht="16.5" customHeight="1">
      <c r="D20" s="332">
        <v>6</v>
      </c>
      <c r="E20" s="344">
        <f t="shared" si="8"/>
        <v>2009</v>
      </c>
      <c r="F20" s="344"/>
      <c r="G20" s="344"/>
      <c r="H20" s="344"/>
      <c r="I20" s="340">
        <f>AV20*AT15</f>
        <v>0</v>
      </c>
      <c r="J20" s="340"/>
      <c r="K20" s="340"/>
      <c r="L20" s="340"/>
      <c r="M20" s="340"/>
      <c r="N20" s="340"/>
      <c r="O20" s="340"/>
      <c r="P20" s="339">
        <f t="shared" si="0"/>
        <v>0.5644739300537772</v>
      </c>
      <c r="Q20" s="339"/>
      <c r="R20" s="339"/>
      <c r="S20" s="340">
        <f t="shared" si="1"/>
        <v>0</v>
      </c>
      <c r="T20" s="340"/>
      <c r="U20" s="340"/>
      <c r="V20" s="340"/>
      <c r="W20" s="340"/>
      <c r="X20" s="340"/>
      <c r="Y20" s="340">
        <f t="shared" si="9"/>
        <v>1650000</v>
      </c>
      <c r="Z20" s="341"/>
      <c r="AA20" s="341"/>
      <c r="AB20" s="341"/>
      <c r="AC20" s="341"/>
      <c r="AD20" s="341"/>
      <c r="AE20" s="341"/>
      <c r="AF20" s="340">
        <f t="shared" si="10"/>
        <v>1113723.6030822531</v>
      </c>
      <c r="AG20" s="341"/>
      <c r="AH20" s="341"/>
      <c r="AI20" s="341"/>
      <c r="AJ20" s="341"/>
      <c r="AK20" s="341"/>
      <c r="AL20" s="341"/>
      <c r="AV20" s="315">
        <v>0</v>
      </c>
      <c r="AW20" s="315"/>
      <c r="AX20" s="315"/>
      <c r="AZ20" s="342">
        <f t="shared" si="2"/>
        <v>1</v>
      </c>
      <c r="BA20" s="342"/>
      <c r="BB20" s="307">
        <f t="shared" si="11"/>
        <v>2</v>
      </c>
      <c r="BC20" s="307">
        <f t="shared" si="3"/>
        <v>0</v>
      </c>
      <c r="BD20" s="307">
        <f t="shared" si="4"/>
        <v>1</v>
      </c>
      <c r="BE20" s="307">
        <f t="shared" si="12"/>
        <v>2</v>
      </c>
      <c r="BF20" s="307">
        <f t="shared" si="5"/>
        <v>0</v>
      </c>
      <c r="BH20" s="343">
        <f t="shared" si="6"/>
        <v>0</v>
      </c>
      <c r="BI20" s="307">
        <f t="shared" si="7"/>
        <v>0</v>
      </c>
    </row>
    <row r="21" spans="4:61" ht="16.5" customHeight="1">
      <c r="D21" s="332">
        <v>7</v>
      </c>
      <c r="E21" s="344">
        <f t="shared" si="8"/>
        <v>2010</v>
      </c>
      <c r="F21" s="344"/>
      <c r="G21" s="344"/>
      <c r="H21" s="344"/>
      <c r="I21" s="340">
        <f>AV21*AT15</f>
        <v>0</v>
      </c>
      <c r="J21" s="340"/>
      <c r="K21" s="340"/>
      <c r="L21" s="340"/>
      <c r="M21" s="340"/>
      <c r="N21" s="340"/>
      <c r="O21" s="340"/>
      <c r="P21" s="339">
        <f t="shared" si="0"/>
        <v>0.5131581182307065</v>
      </c>
      <c r="Q21" s="339"/>
      <c r="R21" s="339"/>
      <c r="S21" s="340">
        <f t="shared" si="1"/>
        <v>0</v>
      </c>
      <c r="T21" s="340"/>
      <c r="U21" s="340"/>
      <c r="V21" s="340"/>
      <c r="W21" s="340"/>
      <c r="X21" s="340"/>
      <c r="Y21" s="340">
        <f t="shared" si="9"/>
        <v>1650000</v>
      </c>
      <c r="Z21" s="341"/>
      <c r="AA21" s="341"/>
      <c r="AB21" s="341"/>
      <c r="AC21" s="341"/>
      <c r="AD21" s="341"/>
      <c r="AE21" s="341"/>
      <c r="AF21" s="340">
        <f t="shared" si="10"/>
        <v>1113723.6030822531</v>
      </c>
      <c r="AG21" s="341"/>
      <c r="AH21" s="341"/>
      <c r="AI21" s="341"/>
      <c r="AJ21" s="341"/>
      <c r="AK21" s="341"/>
      <c r="AL21" s="341"/>
      <c r="AV21" s="315">
        <v>0</v>
      </c>
      <c r="AW21" s="315"/>
      <c r="AX21" s="315"/>
      <c r="AZ21" s="342">
        <f t="shared" si="2"/>
        <v>1</v>
      </c>
      <c r="BA21" s="342"/>
      <c r="BB21" s="307">
        <f t="shared" si="11"/>
        <v>3</v>
      </c>
      <c r="BC21" s="307">
        <f t="shared" si="3"/>
        <v>0</v>
      </c>
      <c r="BD21" s="307">
        <f t="shared" si="4"/>
        <v>1</v>
      </c>
      <c r="BE21" s="307">
        <f t="shared" si="12"/>
        <v>3</v>
      </c>
      <c r="BF21" s="307">
        <f t="shared" si="5"/>
        <v>0</v>
      </c>
      <c r="BH21" s="343">
        <f t="shared" si="6"/>
        <v>0</v>
      </c>
      <c r="BI21" s="307">
        <f t="shared" si="7"/>
        <v>0</v>
      </c>
    </row>
    <row r="22" spans="4:61" ht="16.5" customHeight="1">
      <c r="D22" s="332">
        <v>8</v>
      </c>
      <c r="E22" s="344">
        <f t="shared" si="8"/>
        <v>2011</v>
      </c>
      <c r="F22" s="344"/>
      <c r="G22" s="344"/>
      <c r="H22" s="344"/>
      <c r="I22" s="340">
        <f>AV22*AT15</f>
        <v>0</v>
      </c>
      <c r="J22" s="340"/>
      <c r="K22" s="340"/>
      <c r="L22" s="340"/>
      <c r="M22" s="340"/>
      <c r="N22" s="340"/>
      <c r="O22" s="340"/>
      <c r="P22" s="339">
        <f t="shared" si="0"/>
        <v>0.46650738020973315</v>
      </c>
      <c r="Q22" s="339"/>
      <c r="R22" s="339"/>
      <c r="S22" s="340">
        <f t="shared" si="1"/>
        <v>0</v>
      </c>
      <c r="T22" s="340"/>
      <c r="U22" s="340"/>
      <c r="V22" s="340"/>
      <c r="W22" s="340"/>
      <c r="X22" s="340"/>
      <c r="Y22" s="340">
        <f t="shared" si="9"/>
        <v>1650000</v>
      </c>
      <c r="Z22" s="341"/>
      <c r="AA22" s="341"/>
      <c r="AB22" s="341"/>
      <c r="AC22" s="341"/>
      <c r="AD22" s="341"/>
      <c r="AE22" s="341"/>
      <c r="AF22" s="340">
        <f t="shared" si="10"/>
        <v>1113723.6030822531</v>
      </c>
      <c r="AG22" s="341"/>
      <c r="AH22" s="341"/>
      <c r="AI22" s="341"/>
      <c r="AJ22" s="341"/>
      <c r="AK22" s="341"/>
      <c r="AL22" s="341"/>
      <c r="AV22" s="315">
        <v>0</v>
      </c>
      <c r="AW22" s="315"/>
      <c r="AX22" s="315"/>
      <c r="AZ22" s="342">
        <f t="shared" si="2"/>
        <v>1</v>
      </c>
      <c r="BA22" s="342"/>
      <c r="BB22" s="307">
        <f t="shared" si="11"/>
        <v>4</v>
      </c>
      <c r="BC22" s="307">
        <f t="shared" si="3"/>
        <v>0</v>
      </c>
      <c r="BD22" s="307">
        <f t="shared" si="4"/>
        <v>1</v>
      </c>
      <c r="BE22" s="307">
        <f t="shared" si="12"/>
        <v>4</v>
      </c>
      <c r="BF22" s="307">
        <f t="shared" si="5"/>
        <v>0</v>
      </c>
      <c r="BH22" s="343">
        <f t="shared" si="6"/>
        <v>0</v>
      </c>
      <c r="BI22" s="307">
        <f t="shared" si="7"/>
        <v>0</v>
      </c>
    </row>
    <row r="23" spans="4:61" ht="16.5" customHeight="1">
      <c r="D23" s="332">
        <v>9</v>
      </c>
      <c r="E23" s="344">
        <f t="shared" si="8"/>
        <v>2012</v>
      </c>
      <c r="F23" s="344"/>
      <c r="G23" s="344"/>
      <c r="H23" s="344"/>
      <c r="I23" s="340">
        <f>AV23*AT15</f>
        <v>0</v>
      </c>
      <c r="J23" s="340"/>
      <c r="K23" s="340"/>
      <c r="L23" s="340"/>
      <c r="M23" s="340"/>
      <c r="N23" s="340"/>
      <c r="O23" s="340"/>
      <c r="P23" s="339">
        <f t="shared" si="0"/>
        <v>0.42409761837248466</v>
      </c>
      <c r="Q23" s="339"/>
      <c r="R23" s="339"/>
      <c r="S23" s="340">
        <f t="shared" si="1"/>
        <v>0</v>
      </c>
      <c r="T23" s="340"/>
      <c r="U23" s="340"/>
      <c r="V23" s="340"/>
      <c r="W23" s="340"/>
      <c r="X23" s="340"/>
      <c r="Y23" s="340">
        <f t="shared" si="9"/>
        <v>1650000</v>
      </c>
      <c r="Z23" s="341"/>
      <c r="AA23" s="341"/>
      <c r="AB23" s="341"/>
      <c r="AC23" s="341"/>
      <c r="AD23" s="341"/>
      <c r="AE23" s="341"/>
      <c r="AF23" s="340">
        <f t="shared" si="10"/>
        <v>1113723.6030822531</v>
      </c>
      <c r="AG23" s="341"/>
      <c r="AH23" s="341"/>
      <c r="AI23" s="341"/>
      <c r="AJ23" s="341"/>
      <c r="AK23" s="341"/>
      <c r="AL23" s="341"/>
      <c r="AV23" s="315">
        <v>0</v>
      </c>
      <c r="AW23" s="315"/>
      <c r="AX23" s="315"/>
      <c r="AZ23" s="342">
        <f t="shared" si="2"/>
        <v>1</v>
      </c>
      <c r="BA23" s="342"/>
      <c r="BB23" s="307">
        <f t="shared" si="11"/>
        <v>5</v>
      </c>
      <c r="BC23" s="307">
        <f t="shared" si="3"/>
        <v>0</v>
      </c>
      <c r="BD23" s="307">
        <f t="shared" si="4"/>
        <v>1</v>
      </c>
      <c r="BE23" s="307">
        <f t="shared" si="12"/>
        <v>5</v>
      </c>
      <c r="BF23" s="307">
        <f t="shared" si="5"/>
        <v>0</v>
      </c>
      <c r="BH23" s="343">
        <f t="shared" si="6"/>
        <v>0</v>
      </c>
      <c r="BI23" s="307">
        <f t="shared" si="7"/>
        <v>0</v>
      </c>
    </row>
    <row r="24" spans="4:61" ht="16.5" customHeight="1">
      <c r="D24" s="332">
        <v>10</v>
      </c>
      <c r="E24" s="344">
        <f t="shared" si="8"/>
        <v>2013</v>
      </c>
      <c r="F24" s="344"/>
      <c r="G24" s="344"/>
      <c r="H24" s="344"/>
      <c r="I24" s="340">
        <f>AV24*AT15</f>
        <v>0</v>
      </c>
      <c r="J24" s="340"/>
      <c r="K24" s="340"/>
      <c r="L24" s="340"/>
      <c r="M24" s="340"/>
      <c r="N24" s="340"/>
      <c r="O24" s="340"/>
      <c r="P24" s="339">
        <f t="shared" si="0"/>
        <v>0.3855432894295315</v>
      </c>
      <c r="Q24" s="339"/>
      <c r="R24" s="339"/>
      <c r="S24" s="340">
        <f t="shared" si="1"/>
        <v>0</v>
      </c>
      <c r="T24" s="340"/>
      <c r="U24" s="340"/>
      <c r="V24" s="340"/>
      <c r="W24" s="340"/>
      <c r="X24" s="340"/>
      <c r="Y24" s="340">
        <f t="shared" si="9"/>
        <v>1650000</v>
      </c>
      <c r="Z24" s="341"/>
      <c r="AA24" s="341"/>
      <c r="AB24" s="341"/>
      <c r="AC24" s="341"/>
      <c r="AD24" s="341"/>
      <c r="AE24" s="341"/>
      <c r="AF24" s="340">
        <f t="shared" si="10"/>
        <v>1113723.6030822531</v>
      </c>
      <c r="AG24" s="341"/>
      <c r="AH24" s="341"/>
      <c r="AI24" s="341"/>
      <c r="AJ24" s="341"/>
      <c r="AK24" s="341"/>
      <c r="AL24" s="341"/>
      <c r="AV24" s="315">
        <v>0</v>
      </c>
      <c r="AW24" s="315"/>
      <c r="AX24" s="315"/>
      <c r="AZ24" s="342">
        <f t="shared" si="2"/>
        <v>1</v>
      </c>
      <c r="BA24" s="342"/>
      <c r="BB24" s="307">
        <f t="shared" si="11"/>
        <v>6</v>
      </c>
      <c r="BC24" s="307">
        <f t="shared" si="3"/>
        <v>0</v>
      </c>
      <c r="BD24" s="307">
        <f t="shared" si="4"/>
        <v>1</v>
      </c>
      <c r="BE24" s="307">
        <f t="shared" si="12"/>
        <v>6</v>
      </c>
      <c r="BF24" s="307">
        <f t="shared" si="5"/>
        <v>0</v>
      </c>
      <c r="BH24" s="343">
        <f t="shared" si="6"/>
        <v>0</v>
      </c>
      <c r="BI24" s="307">
        <f t="shared" si="7"/>
        <v>0</v>
      </c>
    </row>
    <row r="25" spans="4:61" ht="16.5" customHeight="1">
      <c r="D25" s="332">
        <v>11</v>
      </c>
      <c r="E25" s="344">
        <f t="shared" si="8"/>
        <v>2014</v>
      </c>
      <c r="F25" s="344"/>
      <c r="G25" s="344"/>
      <c r="H25" s="344"/>
      <c r="I25" s="340">
        <f>AV25*AT15</f>
        <v>0</v>
      </c>
      <c r="J25" s="340"/>
      <c r="K25" s="340"/>
      <c r="L25" s="340"/>
      <c r="M25" s="340"/>
      <c r="N25" s="340"/>
      <c r="O25" s="340"/>
      <c r="P25" s="339">
        <f t="shared" si="0"/>
        <v>0.3504938994813922</v>
      </c>
      <c r="Q25" s="339"/>
      <c r="R25" s="339"/>
      <c r="S25" s="340">
        <f t="shared" si="1"/>
        <v>0</v>
      </c>
      <c r="T25" s="340"/>
      <c r="U25" s="340"/>
      <c r="V25" s="340"/>
      <c r="W25" s="340"/>
      <c r="X25" s="340"/>
      <c r="Y25" s="340">
        <f t="shared" si="9"/>
        <v>1650000</v>
      </c>
      <c r="Z25" s="341"/>
      <c r="AA25" s="341"/>
      <c r="AB25" s="341"/>
      <c r="AC25" s="341"/>
      <c r="AD25" s="341"/>
      <c r="AE25" s="341"/>
      <c r="AF25" s="340">
        <f t="shared" si="10"/>
        <v>1113723.6030822531</v>
      </c>
      <c r="AG25" s="341"/>
      <c r="AH25" s="341"/>
      <c r="AI25" s="341"/>
      <c r="AJ25" s="341"/>
      <c r="AK25" s="341"/>
      <c r="AL25" s="341"/>
      <c r="AV25" s="315">
        <v>0</v>
      </c>
      <c r="AW25" s="315"/>
      <c r="AX25" s="315"/>
      <c r="AZ25" s="342">
        <f t="shared" si="2"/>
        <v>1</v>
      </c>
      <c r="BA25" s="342"/>
      <c r="BB25" s="307">
        <f t="shared" si="11"/>
        <v>7</v>
      </c>
      <c r="BC25" s="307">
        <f t="shared" si="3"/>
        <v>0</v>
      </c>
      <c r="BD25" s="307">
        <f t="shared" si="4"/>
        <v>1</v>
      </c>
      <c r="BE25" s="307">
        <f t="shared" si="12"/>
        <v>7</v>
      </c>
      <c r="BF25" s="307">
        <f t="shared" si="5"/>
        <v>0</v>
      </c>
      <c r="BH25" s="343">
        <f t="shared" si="6"/>
        <v>0</v>
      </c>
      <c r="BI25" s="307">
        <f t="shared" si="7"/>
        <v>0</v>
      </c>
    </row>
    <row r="26" spans="4:61" ht="16.5" customHeight="1">
      <c r="D26" s="332">
        <v>12</v>
      </c>
      <c r="E26" s="344">
        <f t="shared" si="8"/>
        <v>2015</v>
      </c>
      <c r="F26" s="344"/>
      <c r="G26" s="344"/>
      <c r="H26" s="344"/>
      <c r="I26" s="340">
        <f>AV26</f>
        <v>0</v>
      </c>
      <c r="J26" s="340"/>
      <c r="K26" s="340"/>
      <c r="L26" s="340"/>
      <c r="M26" s="340"/>
      <c r="N26" s="340"/>
      <c r="O26" s="340"/>
      <c r="P26" s="339">
        <f t="shared" si="0"/>
        <v>0.31863081771035656</v>
      </c>
      <c r="Q26" s="339"/>
      <c r="R26" s="339"/>
      <c r="S26" s="340">
        <f t="shared" si="1"/>
        <v>0</v>
      </c>
      <c r="T26" s="340"/>
      <c r="U26" s="340"/>
      <c r="V26" s="340"/>
      <c r="W26" s="340"/>
      <c r="X26" s="340"/>
      <c r="Y26" s="340">
        <f t="shared" si="9"/>
        <v>1650000</v>
      </c>
      <c r="Z26" s="341"/>
      <c r="AA26" s="341"/>
      <c r="AB26" s="341"/>
      <c r="AC26" s="341"/>
      <c r="AD26" s="341"/>
      <c r="AE26" s="341"/>
      <c r="AF26" s="340">
        <f t="shared" si="10"/>
        <v>1113723.6030822531</v>
      </c>
      <c r="AG26" s="341"/>
      <c r="AH26" s="341"/>
      <c r="AI26" s="341"/>
      <c r="AJ26" s="341"/>
      <c r="AK26" s="341"/>
      <c r="AL26" s="341"/>
      <c r="AV26" s="315">
        <v>0</v>
      </c>
      <c r="AW26" s="315"/>
      <c r="AX26" s="315"/>
      <c r="AZ26" s="342">
        <f t="shared" si="2"/>
        <v>1</v>
      </c>
      <c r="BA26" s="342"/>
      <c r="BB26" s="307">
        <f t="shared" si="11"/>
        <v>8</v>
      </c>
      <c r="BC26" s="307">
        <f t="shared" si="3"/>
        <v>0</v>
      </c>
      <c r="BD26" s="307">
        <f t="shared" si="4"/>
        <v>1</v>
      </c>
      <c r="BE26" s="307">
        <f t="shared" si="12"/>
        <v>8</v>
      </c>
      <c r="BF26" s="307">
        <f t="shared" si="5"/>
        <v>0</v>
      </c>
      <c r="BH26" s="343">
        <f t="shared" si="6"/>
        <v>0</v>
      </c>
      <c r="BI26" s="307">
        <f t="shared" si="7"/>
        <v>0</v>
      </c>
    </row>
    <row r="27" spans="4:61" ht="16.5" customHeight="1">
      <c r="D27" s="332">
        <v>13</v>
      </c>
      <c r="E27" s="344">
        <f t="shared" si="8"/>
        <v>2016</v>
      </c>
      <c r="F27" s="344"/>
      <c r="G27" s="344"/>
      <c r="H27" s="344"/>
      <c r="I27" s="340">
        <f>AV27*AT15</f>
        <v>0</v>
      </c>
      <c r="J27" s="340"/>
      <c r="K27" s="340"/>
      <c r="L27" s="340"/>
      <c r="M27" s="340"/>
      <c r="N27" s="340"/>
      <c r="O27" s="340"/>
      <c r="P27" s="339">
        <f t="shared" si="0"/>
        <v>0.2896643797366878</v>
      </c>
      <c r="Q27" s="339"/>
      <c r="R27" s="339"/>
      <c r="S27" s="340">
        <f t="shared" si="1"/>
        <v>0</v>
      </c>
      <c r="T27" s="340"/>
      <c r="U27" s="340"/>
      <c r="V27" s="340"/>
      <c r="W27" s="340"/>
      <c r="X27" s="340"/>
      <c r="Y27" s="340">
        <f t="shared" si="9"/>
        <v>1650000</v>
      </c>
      <c r="Z27" s="341"/>
      <c r="AA27" s="341"/>
      <c r="AB27" s="341"/>
      <c r="AC27" s="341"/>
      <c r="AD27" s="341"/>
      <c r="AE27" s="341"/>
      <c r="AF27" s="340">
        <f t="shared" si="10"/>
        <v>1113723.6030822531</v>
      </c>
      <c r="AG27" s="341"/>
      <c r="AH27" s="341"/>
      <c r="AI27" s="341"/>
      <c r="AJ27" s="341"/>
      <c r="AK27" s="341"/>
      <c r="AL27" s="341"/>
      <c r="AV27" s="315">
        <v>0</v>
      </c>
      <c r="AW27" s="315"/>
      <c r="AX27" s="315"/>
      <c r="AZ27" s="342">
        <f t="shared" si="2"/>
        <v>1</v>
      </c>
      <c r="BA27" s="342"/>
      <c r="BB27" s="307">
        <f t="shared" si="11"/>
        <v>9</v>
      </c>
      <c r="BC27" s="307">
        <f t="shared" si="3"/>
        <v>0</v>
      </c>
      <c r="BD27" s="307">
        <f t="shared" si="4"/>
        <v>1</v>
      </c>
      <c r="BE27" s="307">
        <f t="shared" si="12"/>
        <v>9</v>
      </c>
      <c r="BF27" s="307">
        <f t="shared" si="5"/>
        <v>0</v>
      </c>
      <c r="BH27" s="343">
        <f t="shared" si="6"/>
        <v>0</v>
      </c>
      <c r="BI27" s="307">
        <f t="shared" si="7"/>
        <v>0</v>
      </c>
    </row>
    <row r="28" spans="4:61" ht="16.5" customHeight="1">
      <c r="D28" s="332">
        <v>14</v>
      </c>
      <c r="E28" s="344">
        <f t="shared" si="8"/>
        <v>2017</v>
      </c>
      <c r="F28" s="344"/>
      <c r="G28" s="344"/>
      <c r="H28" s="344"/>
      <c r="I28" s="340">
        <f>AV28*AT15</f>
        <v>0</v>
      </c>
      <c r="J28" s="340"/>
      <c r="K28" s="340"/>
      <c r="L28" s="340"/>
      <c r="M28" s="340"/>
      <c r="N28" s="340"/>
      <c r="O28" s="340"/>
      <c r="P28" s="339">
        <f t="shared" si="0"/>
        <v>0.26333125430607973</v>
      </c>
      <c r="Q28" s="339"/>
      <c r="R28" s="339"/>
      <c r="S28" s="340">
        <f t="shared" si="1"/>
        <v>0</v>
      </c>
      <c r="T28" s="340"/>
      <c r="U28" s="340"/>
      <c r="V28" s="340"/>
      <c r="W28" s="340"/>
      <c r="X28" s="340"/>
      <c r="Y28" s="340">
        <f t="shared" si="9"/>
        <v>1650000</v>
      </c>
      <c r="Z28" s="341"/>
      <c r="AA28" s="341"/>
      <c r="AB28" s="341"/>
      <c r="AC28" s="341"/>
      <c r="AD28" s="341"/>
      <c r="AE28" s="341"/>
      <c r="AF28" s="340">
        <f t="shared" si="10"/>
        <v>1113723.6030822531</v>
      </c>
      <c r="AG28" s="341"/>
      <c r="AH28" s="341"/>
      <c r="AI28" s="341"/>
      <c r="AJ28" s="341"/>
      <c r="AK28" s="341"/>
      <c r="AL28" s="341"/>
      <c r="AV28" s="315">
        <v>0</v>
      </c>
      <c r="AW28" s="315"/>
      <c r="AX28" s="315"/>
      <c r="AZ28" s="342">
        <f t="shared" si="2"/>
        <v>1</v>
      </c>
      <c r="BA28" s="342"/>
      <c r="BB28" s="307">
        <f t="shared" si="11"/>
        <v>10</v>
      </c>
      <c r="BC28" s="307">
        <f t="shared" si="3"/>
        <v>0</v>
      </c>
      <c r="BD28" s="307">
        <f t="shared" si="4"/>
        <v>1</v>
      </c>
      <c r="BE28" s="307">
        <f t="shared" si="12"/>
        <v>10</v>
      </c>
      <c r="BF28" s="307">
        <f t="shared" si="5"/>
        <v>0</v>
      </c>
      <c r="BH28" s="343">
        <f t="shared" si="6"/>
        <v>0</v>
      </c>
      <c r="BI28" s="307">
        <f t="shared" si="7"/>
        <v>0</v>
      </c>
    </row>
    <row r="29" spans="4:61" ht="16.5" customHeight="1">
      <c r="D29" s="332">
        <v>15</v>
      </c>
      <c r="E29" s="344">
        <f t="shared" si="8"/>
        <v>2018</v>
      </c>
      <c r="F29" s="344"/>
      <c r="G29" s="344"/>
      <c r="H29" s="344"/>
      <c r="I29" s="340">
        <f>AV29*AT15</f>
        <v>0</v>
      </c>
      <c r="J29" s="340"/>
      <c r="K29" s="340"/>
      <c r="L29" s="340"/>
      <c r="M29" s="340"/>
      <c r="N29" s="340"/>
      <c r="O29" s="340"/>
      <c r="P29" s="339">
        <f t="shared" si="0"/>
        <v>0.2393920493691634</v>
      </c>
      <c r="Q29" s="339"/>
      <c r="R29" s="339"/>
      <c r="S29" s="340">
        <f t="shared" si="1"/>
        <v>0</v>
      </c>
      <c r="T29" s="340"/>
      <c r="U29" s="340"/>
      <c r="V29" s="340"/>
      <c r="W29" s="340"/>
      <c r="X29" s="340"/>
      <c r="Y29" s="340">
        <f t="shared" si="9"/>
        <v>1650000</v>
      </c>
      <c r="Z29" s="341"/>
      <c r="AA29" s="341"/>
      <c r="AB29" s="341"/>
      <c r="AC29" s="341"/>
      <c r="AD29" s="341"/>
      <c r="AE29" s="341"/>
      <c r="AF29" s="340">
        <f t="shared" si="10"/>
        <v>1113723.6030822531</v>
      </c>
      <c r="AG29" s="341"/>
      <c r="AH29" s="341"/>
      <c r="AI29" s="341"/>
      <c r="AJ29" s="341"/>
      <c r="AK29" s="341"/>
      <c r="AL29" s="341"/>
      <c r="AV29" s="315">
        <v>0</v>
      </c>
      <c r="AW29" s="315"/>
      <c r="AX29" s="315"/>
      <c r="AZ29" s="342">
        <f t="shared" si="2"/>
        <v>1</v>
      </c>
      <c r="BA29" s="342"/>
      <c r="BB29" s="307">
        <f t="shared" si="11"/>
        <v>11</v>
      </c>
      <c r="BC29" s="307">
        <f t="shared" si="3"/>
        <v>0</v>
      </c>
      <c r="BD29" s="307">
        <f t="shared" si="4"/>
        <v>1</v>
      </c>
      <c r="BE29" s="307">
        <f t="shared" si="12"/>
        <v>11</v>
      </c>
      <c r="BF29" s="307">
        <f t="shared" si="5"/>
        <v>0</v>
      </c>
      <c r="BH29" s="343">
        <f t="shared" si="6"/>
        <v>0</v>
      </c>
      <c r="BI29" s="307">
        <f t="shared" si="7"/>
        <v>0</v>
      </c>
    </row>
    <row r="30" spans="4:61" ht="16.5" customHeight="1">
      <c r="D30" s="332">
        <v>16</v>
      </c>
      <c r="E30" s="344">
        <f t="shared" si="8"/>
        <v>2019</v>
      </c>
      <c r="F30" s="344"/>
      <c r="G30" s="344"/>
      <c r="H30" s="344"/>
      <c r="I30" s="340">
        <f>AV30*AT15</f>
        <v>0</v>
      </c>
      <c r="J30" s="340"/>
      <c r="K30" s="340"/>
      <c r="L30" s="340"/>
      <c r="M30" s="340"/>
      <c r="N30" s="340"/>
      <c r="O30" s="340"/>
      <c r="P30" s="339">
        <f t="shared" si="0"/>
        <v>0.21762913579014853</v>
      </c>
      <c r="Q30" s="339"/>
      <c r="R30" s="339"/>
      <c r="S30" s="340">
        <f t="shared" si="1"/>
        <v>0</v>
      </c>
      <c r="T30" s="340"/>
      <c r="U30" s="340"/>
      <c r="V30" s="340"/>
      <c r="W30" s="340"/>
      <c r="X30" s="340"/>
      <c r="Y30" s="340">
        <f t="shared" si="9"/>
        <v>1650000</v>
      </c>
      <c r="Z30" s="341"/>
      <c r="AA30" s="341"/>
      <c r="AB30" s="341"/>
      <c r="AC30" s="341"/>
      <c r="AD30" s="341"/>
      <c r="AE30" s="341"/>
      <c r="AF30" s="340">
        <f t="shared" si="10"/>
        <v>1113723.6030822531</v>
      </c>
      <c r="AG30" s="341"/>
      <c r="AH30" s="341"/>
      <c r="AI30" s="341"/>
      <c r="AJ30" s="341"/>
      <c r="AK30" s="341"/>
      <c r="AL30" s="341"/>
      <c r="AV30" s="315">
        <v>0</v>
      </c>
      <c r="AW30" s="315"/>
      <c r="AX30" s="315"/>
      <c r="AZ30" s="342">
        <f t="shared" si="2"/>
        <v>1</v>
      </c>
      <c r="BA30" s="342"/>
      <c r="BB30" s="307">
        <f t="shared" si="11"/>
        <v>12</v>
      </c>
      <c r="BC30" s="307">
        <f t="shared" si="3"/>
        <v>0</v>
      </c>
      <c r="BD30" s="307">
        <f t="shared" si="4"/>
        <v>1</v>
      </c>
      <c r="BE30" s="307">
        <f t="shared" si="12"/>
        <v>12</v>
      </c>
      <c r="BF30" s="307">
        <f t="shared" si="5"/>
        <v>0</v>
      </c>
      <c r="BH30" s="343">
        <f t="shared" si="6"/>
        <v>0</v>
      </c>
      <c r="BI30" s="307">
        <f t="shared" si="7"/>
        <v>0</v>
      </c>
    </row>
    <row r="31" spans="4:61" ht="16.5" customHeight="1">
      <c r="D31" s="332">
        <v>17</v>
      </c>
      <c r="E31" s="344">
        <f t="shared" si="8"/>
        <v>2020</v>
      </c>
      <c r="F31" s="344"/>
      <c r="G31" s="344"/>
      <c r="H31" s="344"/>
      <c r="I31" s="340">
        <f>AV31*AT15</f>
        <v>0</v>
      </c>
      <c r="J31" s="340"/>
      <c r="K31" s="340"/>
      <c r="L31" s="340"/>
      <c r="M31" s="340"/>
      <c r="N31" s="340"/>
      <c r="O31" s="340"/>
      <c r="P31" s="339">
        <f t="shared" si="0"/>
        <v>0.19784466890013502</v>
      </c>
      <c r="Q31" s="339"/>
      <c r="R31" s="339"/>
      <c r="S31" s="340">
        <f t="shared" si="1"/>
        <v>0</v>
      </c>
      <c r="T31" s="340"/>
      <c r="U31" s="340"/>
      <c r="V31" s="340"/>
      <c r="W31" s="340"/>
      <c r="X31" s="340"/>
      <c r="Y31" s="340">
        <f t="shared" si="9"/>
        <v>1650000</v>
      </c>
      <c r="Z31" s="341"/>
      <c r="AA31" s="341"/>
      <c r="AB31" s="341"/>
      <c r="AC31" s="341"/>
      <c r="AD31" s="341"/>
      <c r="AE31" s="341"/>
      <c r="AF31" s="340">
        <f t="shared" si="10"/>
        <v>1113723.6030822531</v>
      </c>
      <c r="AG31" s="341"/>
      <c r="AH31" s="341"/>
      <c r="AI31" s="341"/>
      <c r="AJ31" s="341"/>
      <c r="AK31" s="341"/>
      <c r="AL31" s="341"/>
      <c r="AV31" s="315">
        <v>0</v>
      </c>
      <c r="AW31" s="315"/>
      <c r="AX31" s="315"/>
      <c r="AZ31" s="342">
        <f t="shared" si="2"/>
        <v>1</v>
      </c>
      <c r="BA31" s="342"/>
      <c r="BB31" s="307">
        <f t="shared" si="11"/>
        <v>13</v>
      </c>
      <c r="BC31" s="307">
        <f t="shared" si="3"/>
        <v>0</v>
      </c>
      <c r="BD31" s="307">
        <f t="shared" si="4"/>
        <v>1</v>
      </c>
      <c r="BE31" s="307">
        <f t="shared" si="12"/>
        <v>13</v>
      </c>
      <c r="BF31" s="307">
        <f t="shared" si="5"/>
        <v>0</v>
      </c>
      <c r="BH31" s="343">
        <f t="shared" si="6"/>
        <v>0</v>
      </c>
      <c r="BI31" s="307">
        <f t="shared" si="7"/>
        <v>0</v>
      </c>
    </row>
    <row r="32" spans="4:61" ht="16.5" customHeight="1">
      <c r="D32" s="332">
        <v>18</v>
      </c>
      <c r="E32" s="344">
        <f t="shared" si="8"/>
        <v>2021</v>
      </c>
      <c r="F32" s="344"/>
      <c r="G32" s="344"/>
      <c r="H32" s="344"/>
      <c r="I32" s="340">
        <f>AV32*AT15</f>
        <v>0</v>
      </c>
      <c r="J32" s="340"/>
      <c r="K32" s="340"/>
      <c r="L32" s="340"/>
      <c r="M32" s="340"/>
      <c r="N32" s="340"/>
      <c r="O32" s="340"/>
      <c r="P32" s="339">
        <f t="shared" si="0"/>
        <v>0.17985878990921364</v>
      </c>
      <c r="Q32" s="339"/>
      <c r="R32" s="339"/>
      <c r="S32" s="340">
        <f t="shared" si="1"/>
        <v>0</v>
      </c>
      <c r="T32" s="340"/>
      <c r="U32" s="340"/>
      <c r="V32" s="340"/>
      <c r="W32" s="340"/>
      <c r="X32" s="340"/>
      <c r="Y32" s="340">
        <f t="shared" si="9"/>
        <v>1650000</v>
      </c>
      <c r="Z32" s="341"/>
      <c r="AA32" s="341"/>
      <c r="AB32" s="341"/>
      <c r="AC32" s="341"/>
      <c r="AD32" s="341"/>
      <c r="AE32" s="341"/>
      <c r="AF32" s="340">
        <f t="shared" si="10"/>
        <v>1113723.6030822531</v>
      </c>
      <c r="AG32" s="341"/>
      <c r="AH32" s="341"/>
      <c r="AI32" s="341"/>
      <c r="AJ32" s="341"/>
      <c r="AK32" s="341"/>
      <c r="AL32" s="341"/>
      <c r="AV32" s="315">
        <v>0</v>
      </c>
      <c r="AW32" s="315"/>
      <c r="AX32" s="315"/>
      <c r="AZ32" s="342">
        <f t="shared" si="2"/>
        <v>1</v>
      </c>
      <c r="BA32" s="342"/>
      <c r="BB32" s="307">
        <f t="shared" si="11"/>
        <v>14</v>
      </c>
      <c r="BC32" s="307">
        <f t="shared" si="3"/>
        <v>0</v>
      </c>
      <c r="BD32" s="307">
        <f t="shared" si="4"/>
        <v>1</v>
      </c>
      <c r="BE32" s="307">
        <f t="shared" si="12"/>
        <v>14</v>
      </c>
      <c r="BF32" s="307">
        <f t="shared" si="5"/>
        <v>0</v>
      </c>
      <c r="BH32" s="343">
        <f t="shared" si="6"/>
        <v>0</v>
      </c>
      <c r="BI32" s="307">
        <f t="shared" si="7"/>
        <v>0</v>
      </c>
    </row>
    <row r="33" spans="4:61" ht="16.5" customHeight="1">
      <c r="D33" s="332">
        <v>19</v>
      </c>
      <c r="E33" s="344">
        <f t="shared" si="8"/>
        <v>2022</v>
      </c>
      <c r="F33" s="344"/>
      <c r="G33" s="344"/>
      <c r="H33" s="344"/>
      <c r="I33" s="340">
        <f>AV33*AT15</f>
        <v>0</v>
      </c>
      <c r="J33" s="340"/>
      <c r="K33" s="340"/>
      <c r="L33" s="340"/>
      <c r="M33" s="340"/>
      <c r="N33" s="340"/>
      <c r="O33" s="340"/>
      <c r="P33" s="339">
        <f t="shared" si="0"/>
        <v>0.16350799082655781</v>
      </c>
      <c r="Q33" s="339"/>
      <c r="R33" s="339"/>
      <c r="S33" s="340">
        <f t="shared" si="1"/>
        <v>0</v>
      </c>
      <c r="T33" s="340"/>
      <c r="U33" s="340"/>
      <c r="V33" s="340"/>
      <c r="W33" s="340"/>
      <c r="X33" s="340"/>
      <c r="Y33" s="340">
        <f t="shared" si="9"/>
        <v>1650000</v>
      </c>
      <c r="Z33" s="341"/>
      <c r="AA33" s="341"/>
      <c r="AB33" s="341"/>
      <c r="AC33" s="341"/>
      <c r="AD33" s="341"/>
      <c r="AE33" s="341"/>
      <c r="AF33" s="340">
        <f t="shared" si="10"/>
        <v>1113723.6030822531</v>
      </c>
      <c r="AG33" s="341"/>
      <c r="AH33" s="341"/>
      <c r="AI33" s="341"/>
      <c r="AJ33" s="341"/>
      <c r="AK33" s="341"/>
      <c r="AL33" s="341"/>
      <c r="AV33" s="315">
        <v>0</v>
      </c>
      <c r="AW33" s="315"/>
      <c r="AX33" s="315"/>
      <c r="AZ33" s="342">
        <f t="shared" si="2"/>
        <v>1</v>
      </c>
      <c r="BA33" s="342"/>
      <c r="BB33" s="307">
        <f t="shared" si="11"/>
        <v>15</v>
      </c>
      <c r="BC33" s="307">
        <f t="shared" si="3"/>
        <v>0</v>
      </c>
      <c r="BD33" s="307">
        <f t="shared" si="4"/>
        <v>1</v>
      </c>
      <c r="BE33" s="307">
        <f t="shared" si="12"/>
        <v>15</v>
      </c>
      <c r="BF33" s="307">
        <f t="shared" si="5"/>
        <v>0</v>
      </c>
      <c r="BH33" s="343">
        <f t="shared" si="6"/>
        <v>0</v>
      </c>
      <c r="BI33" s="307">
        <f t="shared" si="7"/>
        <v>0</v>
      </c>
    </row>
    <row r="34" spans="4:61" ht="16.5" customHeight="1">
      <c r="D34" s="332">
        <v>20</v>
      </c>
      <c r="E34" s="344">
        <f t="shared" si="8"/>
        <v>2023</v>
      </c>
      <c r="F34" s="344"/>
      <c r="G34" s="344"/>
      <c r="H34" s="344"/>
      <c r="I34" s="340">
        <f>AV34*AT15</f>
        <v>0</v>
      </c>
      <c r="J34" s="340"/>
      <c r="K34" s="340"/>
      <c r="L34" s="340"/>
      <c r="M34" s="340"/>
      <c r="N34" s="340"/>
      <c r="O34" s="340"/>
      <c r="P34" s="339">
        <f t="shared" si="0"/>
        <v>0.1486436280241435</v>
      </c>
      <c r="Q34" s="339"/>
      <c r="R34" s="339"/>
      <c r="S34" s="340">
        <f t="shared" si="1"/>
        <v>0</v>
      </c>
      <c r="T34" s="340"/>
      <c r="U34" s="340"/>
      <c r="V34" s="340"/>
      <c r="W34" s="340"/>
      <c r="X34" s="340"/>
      <c r="Y34" s="340">
        <f t="shared" si="9"/>
        <v>1650000</v>
      </c>
      <c r="Z34" s="341"/>
      <c r="AA34" s="341"/>
      <c r="AB34" s="341"/>
      <c r="AC34" s="341"/>
      <c r="AD34" s="341"/>
      <c r="AE34" s="341"/>
      <c r="AF34" s="340">
        <f t="shared" si="10"/>
        <v>1113723.6030822531</v>
      </c>
      <c r="AG34" s="341"/>
      <c r="AH34" s="341"/>
      <c r="AI34" s="341"/>
      <c r="AJ34" s="341"/>
      <c r="AK34" s="341"/>
      <c r="AL34" s="341"/>
      <c r="AV34" s="315">
        <v>0</v>
      </c>
      <c r="AW34" s="315"/>
      <c r="AX34" s="315"/>
      <c r="AZ34" s="342">
        <f t="shared" si="2"/>
        <v>1</v>
      </c>
      <c r="BA34" s="342"/>
      <c r="BB34" s="307">
        <f t="shared" si="11"/>
        <v>16</v>
      </c>
      <c r="BC34" s="307">
        <f t="shared" si="3"/>
        <v>0</v>
      </c>
      <c r="BD34" s="307">
        <f t="shared" si="4"/>
        <v>1</v>
      </c>
      <c r="BE34" s="307">
        <f t="shared" si="12"/>
        <v>16</v>
      </c>
      <c r="BF34" s="307">
        <f t="shared" si="5"/>
        <v>0</v>
      </c>
      <c r="BH34" s="343">
        <f t="shared" si="6"/>
        <v>0</v>
      </c>
      <c r="BI34" s="307">
        <f t="shared" si="7"/>
        <v>0</v>
      </c>
    </row>
    <row r="35" spans="4:61" ht="16.5" customHeight="1">
      <c r="D35" s="332">
        <v>21</v>
      </c>
      <c r="E35" s="344">
        <f t="shared" si="8"/>
        <v>2024</v>
      </c>
      <c r="F35" s="344"/>
      <c r="G35" s="344"/>
      <c r="H35" s="344"/>
      <c r="I35" s="340">
        <f>AV35*AT15</f>
        <v>0</v>
      </c>
      <c r="J35" s="340"/>
      <c r="K35" s="340"/>
      <c r="L35" s="340"/>
      <c r="M35" s="340"/>
      <c r="N35" s="340"/>
      <c r="O35" s="340"/>
      <c r="P35" s="339">
        <f t="shared" si="0"/>
        <v>0.13513057093103953</v>
      </c>
      <c r="Q35" s="339"/>
      <c r="R35" s="339"/>
      <c r="S35" s="340">
        <f t="shared" si="1"/>
        <v>0</v>
      </c>
      <c r="T35" s="340"/>
      <c r="U35" s="340"/>
      <c r="V35" s="340"/>
      <c r="W35" s="340"/>
      <c r="X35" s="340"/>
      <c r="Y35" s="340">
        <f t="shared" si="9"/>
        <v>1650000</v>
      </c>
      <c r="Z35" s="341"/>
      <c r="AA35" s="341"/>
      <c r="AB35" s="341"/>
      <c r="AC35" s="341"/>
      <c r="AD35" s="341"/>
      <c r="AE35" s="341"/>
      <c r="AF35" s="340">
        <f t="shared" si="10"/>
        <v>1113723.6030822531</v>
      </c>
      <c r="AG35" s="341"/>
      <c r="AH35" s="341"/>
      <c r="AI35" s="341"/>
      <c r="AJ35" s="341"/>
      <c r="AK35" s="341"/>
      <c r="AL35" s="341"/>
      <c r="AV35" s="315">
        <v>0</v>
      </c>
      <c r="AW35" s="315"/>
      <c r="AX35" s="315"/>
      <c r="AZ35" s="342">
        <f t="shared" si="2"/>
        <v>1</v>
      </c>
      <c r="BA35" s="342"/>
      <c r="BB35" s="307">
        <f t="shared" si="11"/>
        <v>17</v>
      </c>
      <c r="BC35" s="307">
        <f t="shared" si="3"/>
        <v>0</v>
      </c>
      <c r="BD35" s="307">
        <f t="shared" si="4"/>
        <v>1</v>
      </c>
      <c r="BE35" s="307">
        <f t="shared" si="12"/>
        <v>17</v>
      </c>
      <c r="BF35" s="307">
        <f t="shared" si="5"/>
        <v>0</v>
      </c>
      <c r="BH35" s="343">
        <f t="shared" si="6"/>
        <v>0</v>
      </c>
      <c r="BI35" s="307">
        <f t="shared" si="7"/>
        <v>0</v>
      </c>
    </row>
    <row r="36" spans="4:61" ht="16.5" customHeight="1">
      <c r="D36" s="332">
        <v>22</v>
      </c>
      <c r="E36" s="344">
        <f t="shared" si="8"/>
        <v>2025</v>
      </c>
      <c r="F36" s="344"/>
      <c r="G36" s="344"/>
      <c r="H36" s="344"/>
      <c r="I36" s="340">
        <f>AV36*AT15</f>
        <v>0</v>
      </c>
      <c r="J36" s="340"/>
      <c r="K36" s="340"/>
      <c r="L36" s="340"/>
      <c r="M36" s="340"/>
      <c r="N36" s="340"/>
      <c r="O36" s="340"/>
      <c r="P36" s="339">
        <f t="shared" si="0"/>
        <v>0.12284597357367227</v>
      </c>
      <c r="Q36" s="339"/>
      <c r="R36" s="339"/>
      <c r="S36" s="340">
        <f t="shared" si="1"/>
        <v>0</v>
      </c>
      <c r="T36" s="340"/>
      <c r="U36" s="340"/>
      <c r="V36" s="340"/>
      <c r="W36" s="340"/>
      <c r="X36" s="340"/>
      <c r="Y36" s="340">
        <f t="shared" si="9"/>
        <v>1650000</v>
      </c>
      <c r="Z36" s="341"/>
      <c r="AA36" s="341"/>
      <c r="AB36" s="341"/>
      <c r="AC36" s="341"/>
      <c r="AD36" s="341"/>
      <c r="AE36" s="341"/>
      <c r="AF36" s="340">
        <f t="shared" si="10"/>
        <v>1113723.6030822531</v>
      </c>
      <c r="AG36" s="341"/>
      <c r="AH36" s="341"/>
      <c r="AI36" s="341"/>
      <c r="AJ36" s="341"/>
      <c r="AK36" s="341"/>
      <c r="AL36" s="341"/>
      <c r="AV36" s="315">
        <v>0</v>
      </c>
      <c r="AW36" s="315"/>
      <c r="AX36" s="315"/>
      <c r="AZ36" s="342">
        <f t="shared" si="2"/>
        <v>1</v>
      </c>
      <c r="BA36" s="342"/>
      <c r="BB36" s="307">
        <f t="shared" si="11"/>
        <v>18</v>
      </c>
      <c r="BC36" s="307">
        <f t="shared" si="3"/>
        <v>0</v>
      </c>
      <c r="BD36" s="307">
        <f t="shared" si="4"/>
        <v>1</v>
      </c>
      <c r="BE36" s="307">
        <f t="shared" si="12"/>
        <v>18</v>
      </c>
      <c r="BF36" s="307">
        <f t="shared" si="5"/>
        <v>0</v>
      </c>
      <c r="BH36" s="343">
        <f t="shared" si="6"/>
        <v>0</v>
      </c>
      <c r="BI36" s="307">
        <f t="shared" si="7"/>
        <v>0</v>
      </c>
    </row>
    <row r="37" spans="4:61" ht="16.5" customHeight="1">
      <c r="D37" s="332">
        <v>23</v>
      </c>
      <c r="E37" s="344">
        <f t="shared" si="8"/>
        <v>2026</v>
      </c>
      <c r="F37" s="344"/>
      <c r="G37" s="344"/>
      <c r="H37" s="344"/>
      <c r="I37" s="340">
        <f>AV37*AT15</f>
        <v>0</v>
      </c>
      <c r="J37" s="340"/>
      <c r="K37" s="340"/>
      <c r="L37" s="340"/>
      <c r="M37" s="340"/>
      <c r="N37" s="340"/>
      <c r="O37" s="340"/>
      <c r="P37" s="339">
        <f t="shared" si="0"/>
        <v>0.11167815779424752</v>
      </c>
      <c r="Q37" s="339"/>
      <c r="R37" s="339"/>
      <c r="S37" s="340">
        <f t="shared" si="1"/>
        <v>0</v>
      </c>
      <c r="T37" s="340"/>
      <c r="U37" s="340"/>
      <c r="V37" s="340"/>
      <c r="W37" s="340"/>
      <c r="X37" s="340"/>
      <c r="Y37" s="340">
        <f t="shared" si="9"/>
        <v>1650000</v>
      </c>
      <c r="Z37" s="341"/>
      <c r="AA37" s="341"/>
      <c r="AB37" s="341"/>
      <c r="AC37" s="341"/>
      <c r="AD37" s="341"/>
      <c r="AE37" s="341"/>
      <c r="AF37" s="340">
        <f t="shared" si="10"/>
        <v>1113723.6030822531</v>
      </c>
      <c r="AG37" s="341"/>
      <c r="AH37" s="341"/>
      <c r="AI37" s="341"/>
      <c r="AJ37" s="341"/>
      <c r="AK37" s="341"/>
      <c r="AL37" s="341"/>
      <c r="AV37" s="315">
        <v>0</v>
      </c>
      <c r="AW37" s="315"/>
      <c r="AX37" s="315"/>
      <c r="AZ37" s="342">
        <f t="shared" si="2"/>
        <v>1</v>
      </c>
      <c r="BA37" s="342"/>
      <c r="BB37" s="307">
        <f t="shared" si="11"/>
        <v>19</v>
      </c>
      <c r="BC37" s="307">
        <f t="shared" si="3"/>
        <v>0</v>
      </c>
      <c r="BD37" s="307">
        <f t="shared" si="4"/>
        <v>1</v>
      </c>
      <c r="BE37" s="307">
        <f t="shared" si="12"/>
        <v>19</v>
      </c>
      <c r="BF37" s="307">
        <f t="shared" si="5"/>
        <v>0</v>
      </c>
      <c r="BH37" s="343">
        <f t="shared" si="6"/>
        <v>0</v>
      </c>
      <c r="BI37" s="307">
        <f t="shared" si="7"/>
        <v>0</v>
      </c>
    </row>
    <row r="38" spans="4:61" ht="16.5" customHeight="1">
      <c r="D38" s="332">
        <v>24</v>
      </c>
      <c r="E38" s="344">
        <f t="shared" si="8"/>
        <v>2027</v>
      </c>
      <c r="F38" s="344"/>
      <c r="G38" s="344"/>
      <c r="H38" s="344"/>
      <c r="I38" s="340">
        <f>AW38*AT15</f>
        <v>0</v>
      </c>
      <c r="J38" s="340"/>
      <c r="K38" s="340"/>
      <c r="L38" s="340"/>
      <c r="M38" s="340"/>
      <c r="N38" s="340"/>
      <c r="O38" s="340"/>
      <c r="P38" s="339">
        <f t="shared" si="0"/>
        <v>0.10152559799477048</v>
      </c>
      <c r="Q38" s="339"/>
      <c r="R38" s="339"/>
      <c r="S38" s="340">
        <f t="shared" si="1"/>
        <v>0</v>
      </c>
      <c r="T38" s="340"/>
      <c r="U38" s="340"/>
      <c r="V38" s="340"/>
      <c r="W38" s="340"/>
      <c r="X38" s="340"/>
      <c r="Y38" s="340">
        <f t="shared" si="9"/>
        <v>1650000</v>
      </c>
      <c r="Z38" s="341"/>
      <c r="AA38" s="341"/>
      <c r="AB38" s="341"/>
      <c r="AC38" s="341"/>
      <c r="AD38" s="341"/>
      <c r="AE38" s="341"/>
      <c r="AF38" s="340">
        <f t="shared" si="10"/>
        <v>1113723.6030822531</v>
      </c>
      <c r="AG38" s="341"/>
      <c r="AH38" s="341"/>
      <c r="AI38" s="341"/>
      <c r="AJ38" s="341"/>
      <c r="AK38" s="341"/>
      <c r="AL38" s="341"/>
      <c r="AW38" s="347">
        <v>0</v>
      </c>
      <c r="AX38" s="347"/>
      <c r="AZ38" s="342">
        <f t="shared" si="2"/>
        <v>1</v>
      </c>
      <c r="BA38" s="342"/>
      <c r="BB38" s="307">
        <f t="shared" si="11"/>
        <v>20</v>
      </c>
      <c r="BC38" s="307">
        <f t="shared" si="3"/>
        <v>0</v>
      </c>
      <c r="BD38" s="307">
        <f t="shared" si="4"/>
        <v>1</v>
      </c>
      <c r="BE38" s="307">
        <f t="shared" si="12"/>
        <v>20</v>
      </c>
      <c r="BF38" s="307">
        <f t="shared" si="5"/>
        <v>0</v>
      </c>
      <c r="BH38" s="343">
        <f t="shared" si="6"/>
        <v>0</v>
      </c>
      <c r="BI38" s="307">
        <f t="shared" si="7"/>
        <v>0</v>
      </c>
    </row>
    <row r="39" spans="4:61" ht="16.5" customHeight="1" thickBot="1">
      <c r="D39" s="348">
        <v>25</v>
      </c>
      <c r="E39" s="349">
        <f t="shared" si="8"/>
        <v>2028</v>
      </c>
      <c r="F39" s="349"/>
      <c r="G39" s="349"/>
      <c r="H39" s="349"/>
      <c r="I39" s="350">
        <f>AW39*AT15</f>
        <v>0</v>
      </c>
      <c r="J39" s="350"/>
      <c r="K39" s="350"/>
      <c r="L39" s="350"/>
      <c r="M39" s="350"/>
      <c r="N39" s="350"/>
      <c r="O39" s="350"/>
      <c r="P39" s="351">
        <f t="shared" si="0"/>
        <v>0.09229599817706405</v>
      </c>
      <c r="Q39" s="351"/>
      <c r="R39" s="351"/>
      <c r="S39" s="350">
        <f t="shared" si="1"/>
        <v>0</v>
      </c>
      <c r="T39" s="350"/>
      <c r="U39" s="350"/>
      <c r="V39" s="350"/>
      <c r="W39" s="350"/>
      <c r="X39" s="350"/>
      <c r="Y39" s="350">
        <f t="shared" si="9"/>
        <v>1650000</v>
      </c>
      <c r="Z39" s="352"/>
      <c r="AA39" s="352"/>
      <c r="AB39" s="352"/>
      <c r="AC39" s="352"/>
      <c r="AD39" s="352"/>
      <c r="AE39" s="352"/>
      <c r="AF39" s="350">
        <f t="shared" si="10"/>
        <v>1113723.6030822531</v>
      </c>
      <c r="AG39" s="352"/>
      <c r="AH39" s="352"/>
      <c r="AI39" s="352"/>
      <c r="AJ39" s="352"/>
      <c r="AK39" s="352"/>
      <c r="AL39" s="352"/>
      <c r="AW39" s="347">
        <v>0</v>
      </c>
      <c r="AX39" s="347"/>
      <c r="AZ39" s="342">
        <f t="shared" si="2"/>
        <v>1</v>
      </c>
      <c r="BA39" s="342"/>
      <c r="BB39" s="307">
        <f t="shared" si="11"/>
        <v>21</v>
      </c>
      <c r="BC39" s="307">
        <f t="shared" si="3"/>
        <v>0</v>
      </c>
      <c r="BD39" s="307">
        <f t="shared" si="4"/>
        <v>1</v>
      </c>
      <c r="BE39" s="307">
        <f t="shared" si="12"/>
        <v>21</v>
      </c>
      <c r="BF39" s="307">
        <f t="shared" si="5"/>
        <v>0</v>
      </c>
      <c r="BH39" s="343">
        <f t="shared" si="6"/>
        <v>0</v>
      </c>
      <c r="BI39" s="307">
        <f t="shared" si="7"/>
        <v>0</v>
      </c>
    </row>
    <row r="40" spans="4:50" ht="19.5" customHeight="1">
      <c r="D40" s="353" t="s">
        <v>153</v>
      </c>
      <c r="E40" s="353"/>
      <c r="F40" s="353"/>
      <c r="G40" s="353"/>
      <c r="H40" s="353"/>
      <c r="I40" s="354">
        <f>SUM(I15:O39)</f>
        <v>1650000</v>
      </c>
      <c r="J40" s="354"/>
      <c r="K40" s="354"/>
      <c r="L40" s="354"/>
      <c r="M40" s="354"/>
      <c r="N40" s="354"/>
      <c r="O40" s="354"/>
      <c r="P40" s="355"/>
      <c r="Q40" s="355"/>
      <c r="R40" s="355"/>
      <c r="S40" s="354">
        <f>SUM(S15:X39)</f>
        <v>1113723.6030822531</v>
      </c>
      <c r="T40" s="356"/>
      <c r="U40" s="356"/>
      <c r="V40" s="356"/>
      <c r="W40" s="356"/>
      <c r="X40" s="356"/>
      <c r="Y40" s="354">
        <f>Y39</f>
        <v>1650000</v>
      </c>
      <c r="Z40" s="356"/>
      <c r="AA40" s="356"/>
      <c r="AB40" s="356"/>
      <c r="AC40" s="356"/>
      <c r="AD40" s="356"/>
      <c r="AE40" s="356"/>
      <c r="AF40" s="354">
        <f>AF39</f>
        <v>1113723.6030822531</v>
      </c>
      <c r="AG40" s="356"/>
      <c r="AH40" s="356"/>
      <c r="AI40" s="356"/>
      <c r="AJ40" s="356"/>
      <c r="AK40" s="356"/>
      <c r="AL40" s="356"/>
      <c r="AV40" s="347"/>
      <c r="AW40" s="347"/>
      <c r="AX40" s="347"/>
    </row>
    <row r="41" ht="16.5" customHeight="1"/>
    <row r="42" ht="16.5" customHeight="1"/>
    <row r="43" spans="2:43" ht="16.5" customHeight="1">
      <c r="B43" s="368" t="s">
        <v>241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</row>
    <row r="44" ht="16.5" customHeight="1"/>
    <row r="45" spans="5:34" ht="16.5" customHeight="1">
      <c r="E45" s="307" t="s">
        <v>233</v>
      </c>
      <c r="AA45" s="357">
        <f>AD45-1</f>
        <v>4</v>
      </c>
      <c r="AB45" s="357"/>
      <c r="AC45" s="358" t="s">
        <v>35</v>
      </c>
      <c r="AD45" s="357">
        <f>MAX(BC15:BC39)</f>
        <v>5</v>
      </c>
      <c r="AE45" s="357"/>
      <c r="AF45" s="357" t="str">
        <f>IF(AD45=1,"rok",IF(AD45&lt;5,"roky","let"))</f>
        <v>let</v>
      </c>
      <c r="AG45" s="357"/>
      <c r="AH45" s="357"/>
    </row>
    <row r="46" spans="5:34" ht="16.5" customHeight="1">
      <c r="E46" s="307" t="s">
        <v>234</v>
      </c>
      <c r="AA46" s="359">
        <f>MAX(BH15:BH39)</f>
        <v>4.522123893805309</v>
      </c>
      <c r="AB46" s="359"/>
      <c r="AC46" s="359"/>
      <c r="AD46" s="359"/>
      <c r="AE46" s="359"/>
      <c r="AF46" s="360" t="str">
        <f>IF(AD46=1,"rok",IF(AD46&lt;5,"roky","let"))</f>
        <v>roky</v>
      </c>
      <c r="AG46" s="360"/>
      <c r="AH46" s="360"/>
    </row>
    <row r="47" spans="27:34" ht="16.5" customHeight="1">
      <c r="AA47" s="361"/>
      <c r="AB47" s="361"/>
      <c r="AC47" s="361"/>
      <c r="AD47" s="361"/>
      <c r="AE47" s="361"/>
      <c r="AF47" s="358"/>
      <c r="AG47" s="358"/>
      <c r="AH47" s="358"/>
    </row>
    <row r="48" spans="2:36" ht="16.5" customHeight="1">
      <c r="B48" s="362"/>
      <c r="C48" s="362"/>
      <c r="D48" s="362"/>
      <c r="E48" s="307" t="s">
        <v>235</v>
      </c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AA48" s="363">
        <f>AD48-1</f>
        <v>4</v>
      </c>
      <c r="AB48" s="363"/>
      <c r="AC48" s="364" t="s">
        <v>35</v>
      </c>
      <c r="AD48" s="363">
        <f>MAX(BF15:BG39)</f>
        <v>5</v>
      </c>
      <c r="AE48" s="363"/>
      <c r="AF48" s="357" t="str">
        <f>IF(AD48=1,"rok",IF(AD48&lt;5,"roky","let"))</f>
        <v>let</v>
      </c>
      <c r="AG48" s="357"/>
      <c r="AH48" s="357"/>
      <c r="AI48" s="362"/>
      <c r="AJ48" s="362"/>
    </row>
    <row r="49" spans="2:36" ht="16.5" customHeight="1">
      <c r="B49" s="362"/>
      <c r="C49" s="362"/>
      <c r="D49" s="362"/>
      <c r="E49" s="307" t="s">
        <v>236</v>
      </c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AA49" s="365">
        <f>MAX(BI15:BI39)</f>
        <v>4.994693008849558</v>
      </c>
      <c r="AB49" s="365"/>
      <c r="AC49" s="365"/>
      <c r="AD49" s="365"/>
      <c r="AE49" s="365"/>
      <c r="AF49" s="360" t="str">
        <f>IF(AD49=1,"rok",IF(AD49&lt;5,"roky","let"))</f>
        <v>roky</v>
      </c>
      <c r="AG49" s="360"/>
      <c r="AH49" s="360"/>
      <c r="AI49" s="362"/>
      <c r="AJ49" s="362"/>
    </row>
    <row r="50" spans="2:44" ht="16.5" customHeight="1"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mergeCells count="241">
    <mergeCell ref="B43:AQ43"/>
    <mergeCell ref="E19:H19"/>
    <mergeCell ref="E20:H20"/>
    <mergeCell ref="E21:H21"/>
    <mergeCell ref="E22:H22"/>
    <mergeCell ref="E23:H23"/>
    <mergeCell ref="E24:H24"/>
    <mergeCell ref="E37:H37"/>
    <mergeCell ref="E7:K7"/>
    <mergeCell ref="N7:R7"/>
    <mergeCell ref="AV7:AX7"/>
    <mergeCell ref="AT7:AU7"/>
    <mergeCell ref="AE7:AJ7"/>
    <mergeCell ref="X7:AD7"/>
    <mergeCell ref="E15:H15"/>
    <mergeCell ref="E16:H16"/>
    <mergeCell ref="E17:H17"/>
    <mergeCell ref="E18:H18"/>
    <mergeCell ref="P21:R21"/>
    <mergeCell ref="P22:R22"/>
    <mergeCell ref="P14:R14"/>
    <mergeCell ref="P15:R15"/>
    <mergeCell ref="P16:R16"/>
    <mergeCell ref="P17:R17"/>
    <mergeCell ref="P18:R18"/>
    <mergeCell ref="P19:R19"/>
    <mergeCell ref="AE8:AJ8"/>
    <mergeCell ref="X8:AD8"/>
    <mergeCell ref="E25:H25"/>
    <mergeCell ref="P25:R25"/>
    <mergeCell ref="I25:O25"/>
    <mergeCell ref="S23:X23"/>
    <mergeCell ref="S24:X24"/>
    <mergeCell ref="P23:R23"/>
    <mergeCell ref="P24:R24"/>
    <mergeCell ref="P20:R20"/>
    <mergeCell ref="AI12:AL12"/>
    <mergeCell ref="E26:H26"/>
    <mergeCell ref="P26:R26"/>
    <mergeCell ref="I26:O26"/>
    <mergeCell ref="I16:O16"/>
    <mergeCell ref="I17:O17"/>
    <mergeCell ref="I18:O18"/>
    <mergeCell ref="I19:O19"/>
    <mergeCell ref="S16:X16"/>
    <mergeCell ref="D14:H14"/>
    <mergeCell ref="E28:H28"/>
    <mergeCell ref="P28:R28"/>
    <mergeCell ref="I28:O28"/>
    <mergeCell ref="AE9:AJ9"/>
    <mergeCell ref="AE10:AJ10"/>
    <mergeCell ref="X9:AD9"/>
    <mergeCell ref="X10:AD10"/>
    <mergeCell ref="E27:H27"/>
    <mergeCell ref="P27:R27"/>
    <mergeCell ref="I27:O27"/>
    <mergeCell ref="E29:H29"/>
    <mergeCell ref="P29:R29"/>
    <mergeCell ref="I29:O29"/>
    <mergeCell ref="S29:X29"/>
    <mergeCell ref="E30:H30"/>
    <mergeCell ref="P30:R30"/>
    <mergeCell ref="I30:O30"/>
    <mergeCell ref="S30:X30"/>
    <mergeCell ref="E31:H31"/>
    <mergeCell ref="P31:R31"/>
    <mergeCell ref="I31:O31"/>
    <mergeCell ref="S31:X31"/>
    <mergeCell ref="E32:H32"/>
    <mergeCell ref="P32:R32"/>
    <mergeCell ref="I32:O32"/>
    <mergeCell ref="S32:X32"/>
    <mergeCell ref="S34:X34"/>
    <mergeCell ref="E33:H33"/>
    <mergeCell ref="P33:R33"/>
    <mergeCell ref="I33:O33"/>
    <mergeCell ref="S33:X33"/>
    <mergeCell ref="S36:X36"/>
    <mergeCell ref="E35:H35"/>
    <mergeCell ref="P35:R35"/>
    <mergeCell ref="I35:O35"/>
    <mergeCell ref="S35:X35"/>
    <mergeCell ref="AV20:AX20"/>
    <mergeCell ref="I21:O21"/>
    <mergeCell ref="I22:O22"/>
    <mergeCell ref="I23:O23"/>
    <mergeCell ref="I20:O20"/>
    <mergeCell ref="S22:X22"/>
    <mergeCell ref="S21:X21"/>
    <mergeCell ref="Y22:AE22"/>
    <mergeCell ref="Y23:AE23"/>
    <mergeCell ref="AF22:AL22"/>
    <mergeCell ref="AV33:AX33"/>
    <mergeCell ref="AV34:AX34"/>
    <mergeCell ref="AV29:AX29"/>
    <mergeCell ref="AV30:AX30"/>
    <mergeCell ref="AV31:AX31"/>
    <mergeCell ref="AV32:AX32"/>
    <mergeCell ref="AV25:AX25"/>
    <mergeCell ref="AV26:AX26"/>
    <mergeCell ref="E8:K8"/>
    <mergeCell ref="E38:H38"/>
    <mergeCell ref="I38:O38"/>
    <mergeCell ref="P38:R38"/>
    <mergeCell ref="I37:O37"/>
    <mergeCell ref="I14:O14"/>
    <mergeCell ref="I24:O24"/>
    <mergeCell ref="P37:R37"/>
    <mergeCell ref="I15:O15"/>
    <mergeCell ref="E39:H39"/>
    <mergeCell ref="I39:O39"/>
    <mergeCell ref="P39:R39"/>
    <mergeCell ref="E36:H36"/>
    <mergeCell ref="P36:R36"/>
    <mergeCell ref="I36:O36"/>
    <mergeCell ref="E34:H34"/>
    <mergeCell ref="P34:R34"/>
    <mergeCell ref="I34:O34"/>
    <mergeCell ref="S17:X17"/>
    <mergeCell ref="S18:X18"/>
    <mergeCell ref="S19:X19"/>
    <mergeCell ref="S20:X20"/>
    <mergeCell ref="D40:H40"/>
    <mergeCell ref="I40:O40"/>
    <mergeCell ref="P40:R40"/>
    <mergeCell ref="S40:X40"/>
    <mergeCell ref="O8:R8"/>
    <mergeCell ref="S37:X37"/>
    <mergeCell ref="S38:X38"/>
    <mergeCell ref="S39:X39"/>
    <mergeCell ref="S25:X25"/>
    <mergeCell ref="S26:X26"/>
    <mergeCell ref="S27:X27"/>
    <mergeCell ref="S28:X28"/>
    <mergeCell ref="S14:X14"/>
    <mergeCell ref="S15:X15"/>
    <mergeCell ref="AF49:AH49"/>
    <mergeCell ref="AA49:AE49"/>
    <mergeCell ref="AV8:AX8"/>
    <mergeCell ref="AT8:AU8"/>
    <mergeCell ref="AV37:AX37"/>
    <mergeCell ref="AV35:AX35"/>
    <mergeCell ref="AV36:AX36"/>
    <mergeCell ref="AV27:AX27"/>
    <mergeCell ref="AV28:AX28"/>
    <mergeCell ref="AV21:AX21"/>
    <mergeCell ref="BD14:BF14"/>
    <mergeCell ref="AA45:AB45"/>
    <mergeCell ref="AA48:AB48"/>
    <mergeCell ref="AD48:AE48"/>
    <mergeCell ref="AF48:AH48"/>
    <mergeCell ref="AA46:AE46"/>
    <mergeCell ref="AF46:AH46"/>
    <mergeCell ref="AV22:AX22"/>
    <mergeCell ref="AV23:AX23"/>
    <mergeCell ref="AV24:AX24"/>
    <mergeCell ref="AD45:AE45"/>
    <mergeCell ref="AF45:AH45"/>
    <mergeCell ref="AZ39:BA39"/>
    <mergeCell ref="AZ14:BC14"/>
    <mergeCell ref="AV15:AX15"/>
    <mergeCell ref="AT15:AU15"/>
    <mergeCell ref="AV16:AX16"/>
    <mergeCell ref="AV17:AX17"/>
    <mergeCell ref="AV18:AX18"/>
    <mergeCell ref="AV19:AX19"/>
    <mergeCell ref="Y18:AE18"/>
    <mergeCell ref="Y19:AE19"/>
    <mergeCell ref="Y20:AE20"/>
    <mergeCell ref="Y21:AE21"/>
    <mergeCell ref="Y14:AE14"/>
    <mergeCell ref="Y15:AE15"/>
    <mergeCell ref="Y16:AE16"/>
    <mergeCell ref="Y17:AE17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Y34:AE34"/>
    <mergeCell ref="Y35:AE35"/>
    <mergeCell ref="Y36:AE36"/>
    <mergeCell ref="Y37:AE37"/>
    <mergeCell ref="AZ35:BA35"/>
    <mergeCell ref="AZ36:BA36"/>
    <mergeCell ref="AZ37:BA37"/>
    <mergeCell ref="AF35:AL35"/>
    <mergeCell ref="AF36:AL36"/>
    <mergeCell ref="AF37:AL37"/>
    <mergeCell ref="AZ38:BA38"/>
    <mergeCell ref="AZ31:BA31"/>
    <mergeCell ref="AZ32:BA32"/>
    <mergeCell ref="AZ33:BA33"/>
    <mergeCell ref="AZ34:BA34"/>
    <mergeCell ref="AZ27:BA27"/>
    <mergeCell ref="AZ28:BA28"/>
    <mergeCell ref="AZ29:BA29"/>
    <mergeCell ref="AZ30:BA30"/>
    <mergeCell ref="AZ23:BA23"/>
    <mergeCell ref="AZ24:BA24"/>
    <mergeCell ref="AZ25:BA25"/>
    <mergeCell ref="AZ26:BA26"/>
    <mergeCell ref="AZ19:BA19"/>
    <mergeCell ref="AZ20:BA20"/>
    <mergeCell ref="AZ21:BA21"/>
    <mergeCell ref="AZ22:BA22"/>
    <mergeCell ref="AZ15:BA15"/>
    <mergeCell ref="AZ16:BA16"/>
    <mergeCell ref="AZ17:BA17"/>
    <mergeCell ref="AZ18:BA18"/>
    <mergeCell ref="AF18:AL18"/>
    <mergeCell ref="AF19:AL19"/>
    <mergeCell ref="AF20:AL20"/>
    <mergeCell ref="AF21:AL21"/>
    <mergeCell ref="AF14:AL14"/>
    <mergeCell ref="AF15:AL15"/>
    <mergeCell ref="AF16:AL16"/>
    <mergeCell ref="AF17:AL17"/>
    <mergeCell ref="AF23:AL23"/>
    <mergeCell ref="AF24:AL24"/>
    <mergeCell ref="AF25:AL2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8:AL38"/>
    <mergeCell ref="AF39:AL39"/>
    <mergeCell ref="Y40:AE40"/>
    <mergeCell ref="AF40:AL40"/>
    <mergeCell ref="Y38:AE38"/>
    <mergeCell ref="Y39:AE39"/>
  </mergeCells>
  <printOptions/>
  <pageMargins left="0.75" right="0.75" top="1" bottom="1" header="0.4921259845" footer="0.4921259845"/>
  <pageSetup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Tichých</dc:creator>
  <cp:keywords/>
  <dc:description/>
  <cp:lastModifiedBy>Honzík</cp:lastModifiedBy>
  <cp:lastPrinted>2004-12-21T08:57:34Z</cp:lastPrinted>
  <dcterms:created xsi:type="dcterms:W3CDTF">2004-05-23T17:53:23Z</dcterms:created>
  <dcterms:modified xsi:type="dcterms:W3CDTF">2005-12-11T11:42:37Z</dcterms:modified>
  <cp:category/>
  <cp:version/>
  <cp:contentType/>
  <cp:contentStatus/>
</cp:coreProperties>
</file>